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<sst xmlns="http://schemas.openxmlformats.org/spreadsheetml/2006/main" count="1994" uniqueCount="1091">
  <si>
    <t>1.pielikums</t>
  </si>
  <si>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</si>
  <si>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</si>
  <si>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</si>
  <si>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</si>
  <si>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</si>
  <si>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</si>
  <si>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</si>
  <si>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</si>
  <si>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</si>
  <si>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</si>
  <si>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</si>
  <si>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</si>
  <si>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</si>
  <si>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</si>
  <si>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</si>
  <si>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</si>
  <si>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</si>
  <si>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</si>
  <si>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</si>
  <si>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</si>
  <si>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</si>
  <si>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</si>
  <si>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</si>
  <si>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</si>
  <si>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</si>
  <si>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</si>
  <si>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</si>
  <si>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</si>
  <si>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</si>
  <si>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</si>
  <si>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</si>
  <si>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</si>
  <si>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</si>
  <si>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</si>
  <si>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</si>
  <si>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</si>
  <si>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</si>
  <si>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</si>
  <si>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</si>
  <si>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</si>
  <si>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</si>
  <si>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</si>
  <si>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</si>
  <si>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</si>
  <si>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</si>
  <si>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</si>
  <si>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</si>
  <si>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</si>
  <si>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</si>
  <si>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</si>
  <si>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</si>
  <si>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</si>
  <si>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</si>
  <si>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</si>
  <si>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</si>
  <si>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</si>
  <si>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</si>
  <si>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</si>
  <si>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</si>
  <si>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</si>
  <si>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</si>
  <si>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</si>
  <si>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</si>
  <si>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</si>
  <si>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</si>
  <si>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</si>
  <si>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</si>
  <si>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</si>
  <si>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</si>
  <si>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</si>
  <si>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</si>
  <si>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</si>
  <si>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</si>
  <si>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</si>
  <si>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</si>
  <si>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</si>
  <si>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</si>
  <si>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</si>
  <si>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</si>
  <si>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</si>
  <si>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</si>
  <si>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</si>
  <si>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</si>
  <si>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</si>
  <si>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</si>
  <si>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</si>
  <si>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</si>
  <si>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</si>
  <si>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</si>
  <si>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</si>
  <si>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</si>
  <si>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</si>
  <si>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</si>
  <si>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</si>
  <si>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</si>
  <si>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</si>
  <si>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</si>
  <si>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</si>
  <si>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</si>
  <si>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</si>
  <si>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</si>
  <si>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</si>
  <si>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</si>
  <si>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</si>
  <si>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</si>
  <si>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</si>
  <si>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</si>
  <si>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</si>
  <si>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</si>
  <si>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</si>
  <si>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</si>
  <si>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</si>
  <si>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</si>
  <si>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</si>
  <si>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</si>
  <si>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</si>
  <si>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</si>
  <si>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</si>
  <si>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</si>
  <si>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</si>
  <si>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</si>
  <si>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</si>
  <si>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</si>
  <si>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</si>
  <si>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</si>
  <si>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</si>
  <si>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</si>
  <si>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</si>
  <si>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</si>
  <si>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</si>
  <si>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</si>
  <si>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</si>
  <si>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</si>
  <si>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</si>
  <si>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</si>
  <si>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</si>
  <si>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</si>
  <si>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</si>
  <si>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</si>
  <si>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</si>
  <si>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</si>
  <si>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</si>
  <si>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</si>
  <si>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</si>
  <si>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</si>
  <si>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</si>
  <si>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</si>
  <si>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</si>
  <si>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</si>
  <si>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</si>
  <si>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</si>
  <si>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</si>
  <si>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</si>
  <si>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</si>
  <si>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</si>
  <si>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</si>
  <si>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</si>
  <si>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</si>
  <si>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</si>
  <si>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</si>
  <si>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</si>
  <si>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</si>
  <si>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</si>
  <si>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</si>
  <si>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</si>
  <si>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</si>
  <si>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</si>
  <si>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</si>
  <si>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</si>
  <si>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</si>
  <si>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</si>
  <si>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</si>
  <si>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</si>
  <si>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</si>
  <si>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</si>
  <si>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</si>
  <si>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</si>
  <si>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</si>
  <si>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</si>
  <si>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</si>
  <si>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</si>
  <si>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</si>
  <si>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</si>
  <si>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</si>
  <si>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</si>
  <si>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</si>
  <si>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</si>
  <si>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</si>
  <si>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</si>
  <si>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</si>
  <si>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</si>
  <si>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</si>
  <si>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</si>
  <si>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</si>
  <si>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</si>
  <si>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</si>
  <si>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</si>
  <si>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</si>
  <si>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</si>
  <si>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</si>
  <si>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</si>
  <si>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</si>
  <si>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</si>
  <si>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</si>
  <si>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</si>
  <si>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</si>
  <si>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</si>
  <si>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</si>
  <si>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</si>
  <si>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</si>
  <si>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</si>
  <si>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</si>
  <si>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</si>
  <si>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</si>
  <si>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</si>
  <si>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</si>
  <si>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</si>
  <si>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</si>
  <si>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</si>
  <si>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</si>
  <si>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</si>
  <si>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</si>
  <si>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</si>
  <si>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</si>
  <si>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</si>
  <si>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</si>
  <si>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</si>
  <si>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</si>
  <si>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</si>
  <si>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</si>
  <si>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</si>
  <si>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</si>
  <si>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</si>
  <si>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</si>
  <si>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</si>
  <si>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</si>
  <si>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</si>
  <si>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</si>
  <si>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</si>
  <si>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</si>
  <si>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</si>
  <si>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</si>
  <si>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</si>
  <si>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</si>
  <si>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</si>
  <si>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</si>
  <si>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</si>
  <si>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</si>
  <si>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</si>
  <si>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</si>
  <si>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</si>
  <si>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</si>
  <si>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</si>
  <si>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</si>
  <si>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</si>
  <si>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</si>
  <si>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</si>
  <si>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</si>
  <si>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</si>
  <si>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</si>
  <si>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</si>
  <si>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</si>
  <si>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</si>
  <si>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</si>
  <si>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</si>
  <si>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</si>
  <si>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</si>
  <si>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</si>
  <si>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</si>
  <si>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</si>
  <si>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</si>
  <si>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</si>
  <si>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</si>
  <si>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</si>
  <si>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</si>
  <si>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</si>
  <si>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</si>
  <si>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</si>
  <si>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</si>
  <si>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</si>
  <si>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</si>
  <si>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</si>
  <si>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</si>
  <si>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</si>
  <si>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</si>
  <si>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</si>
  <si>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</si>
  <si>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</si>
  <si>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</si>
  <si>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</si>
  <si>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</si>
  <si>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</si>
  <si>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</si>
  <si>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</si>
  <si>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</si>
  <si>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</si>
  <si>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</si>
  <si>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</si>
  <si>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</si>
  <si>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</si>
  <si>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</si>
  <si>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</si>
  <si>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</si>
  <si>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</si>
  <si>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</si>
  <si>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</si>
  <si>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</si>
  <si>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</si>
  <si>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</si>
  <si>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</si>
  <si>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</si>
  <si>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</si>
  <si>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</si>
  <si>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</si>
  <si>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</si>
  <si>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</si>
  <si>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</si>
  <si>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</si>
  <si>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</si>
  <si>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</si>
  <si>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</si>
  <si>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</si>
  <si>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</si>
  <si>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</si>
  <si>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</si>
  <si>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</si>
  <si>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</si>
  <si>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</si>
  <si>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</si>
  <si>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</si>
  <si>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</si>
  <si>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</si>
  <si>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</si>
  <si>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</si>
  <si>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</si>
  <si>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</si>
  <si>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</si>
  <si>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</si>
  <si>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</si>
  <si>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</si>
  <si>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</si>
  <si>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</si>
  <si>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</si>
  <si>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</si>
  <si>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</si>
  <si>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</si>
  <si>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</si>
  <si>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</si>
  <si>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</si>
  <si>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</si>
  <si>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</si>
  <si>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</si>
  <si>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</si>
  <si>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</si>
  <si>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</si>
  <si>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</si>
  <si>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</si>
  <si>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</si>
  <si>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</si>
  <si>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ESF projekts "Proti un dari"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</si>
  <si>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</si>
  <si>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</si>
  <si>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</si>
  <si>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</si>
  <si>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</si>
  <si>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</si>
  <si>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</si>
  <si>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</si>
  <si>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</si>
  <si>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</si>
  <si>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</si>
  <si>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</si>
  <si>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</si>
  <si>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</si>
  <si>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</si>
  <si>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</si>
  <si>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</si>
  <si>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</si>
  <si>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</si>
  <si>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</si>
  <si>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</si>
  <si>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</si>
  <si>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</si>
  <si>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</si>
  <si>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</si>
  <si>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</si>
  <si>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</si>
  <si>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</si>
  <si>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</si>
  <si>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</si>
  <si>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</si>
  <si>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</si>
  <si>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</si>
  <si>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</si>
  <si>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</si>
  <si>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</si>
  <si>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</si>
  <si>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</si>
  <si>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</si>
  <si>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</si>
  <si>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</si>
  <si>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</si>
  <si>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</si>
  <si>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</si>
  <si>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</si>
  <si>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</si>
  <si>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</si>
  <si>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</si>
  <si>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</si>
  <si>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</si>
  <si>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</si>
  <si>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</si>
  <si>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</si>
  <si>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</si>
  <si>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</si>
  <si>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</si>
  <si>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</si>
  <si>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</si>
  <si>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</si>
  <si>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</si>
  <si>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</si>
  <si>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</si>
  <si>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</si>
  <si>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</si>
  <si>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</si>
  <si>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</si>
  <si>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</si>
  <si>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</si>
  <si>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</si>
  <si>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</si>
  <si>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04.738.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</si>
  <si>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</si>
  <si>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</si>
  <si>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</si>
  <si>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</si>
  <si>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</si>
  <si>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</si>
  <si>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</si>
  <si>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</si>
  <si>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</si>
  <si>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</si>
  <si>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</si>
  <si>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</si>
  <si>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</si>
  <si>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</si>
  <si>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</si>
  <si>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</si>
  <si>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</si>
  <si>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</si>
  <si>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</si>
  <si>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</si>
  <si>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</si>
  <si>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</si>
  <si>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</si>
  <si>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</si>
  <si>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</si>
  <si>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</si>
  <si>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</si>
  <si>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</si>
  <si>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</si>
  <si>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</si>
  <si>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</si>
  <si>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</si>
  <si>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</si>
  <si>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</si>
  <si>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</si>
  <si>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</si>
  <si>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</si>
  <si>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</si>
  <si>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</si>
  <si>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</si>
  <si>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</si>
  <si>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</si>
  <si>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</si>
  <si>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</si>
  <si>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</si>
  <si>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</si>
  <si>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</si>
  <si>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</si>
  <si>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</si>
  <si>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</si>
  <si>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Grozījumi         + vai -, 
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</si>
  <si>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</si>
  <si>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</si>
  <si>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</si>
  <si>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</si>
  <si>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</si>
  <si>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</si>
  <si>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</si>
  <si>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</si>
  <si>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</si>
  <si>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</si>
  <si>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</si>
  <si>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</si>
  <si>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</si>
  <si>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</si>
  <si>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</si>
  <si>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</si>
  <si>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</si>
  <si>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</si>
  <si>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</si>
  <si>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</si>
  <si>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</si>
  <si>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</si>
  <si>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</si>
  <si>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</si>
  <si>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</si>
  <si>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</si>
  <si>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</si>
  <si>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</si>
  <si>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</si>
  <si>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</si>
  <si>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</si>
  <si>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</si>
  <si>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</si>
  <si>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</si>
  <si>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</si>
  <si>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</si>
  <si>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</si>
  <si>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</si>
  <si>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</si>
  <si>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</si>
  <si>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</si>
  <si>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</si>
  <si>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</si>
  <si>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>Nr. p.k</t>
  </si>
  <si>
    <t xml:space="preserve">Aizņēmuma līgums </t>
  </si>
  <si>
    <t>Mērķis</t>
  </si>
  <si>
    <t>Maksājumi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</si>
  <si>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</si>
  <si>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</si>
  <si>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</si>
  <si>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</si>
  <si>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</si>
  <si>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</si>
  <si>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</si>
  <si>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</si>
  <si>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</si>
  <si>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</si>
  <si>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</si>
  <si>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</si>
  <si>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</si>
  <si>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</si>
  <si>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</si>
  <si>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</si>
  <si>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</si>
  <si>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</si>
  <si>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</si>
  <si>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</si>
  <si>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</si>
  <si>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</si>
  <si>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</si>
  <si>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</si>
  <si>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</si>
  <si>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</si>
  <si>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</si>
  <si>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</si>
  <si>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</si>
  <si>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</si>
  <si>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</si>
  <si>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</si>
  <si>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</si>
  <si>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</si>
  <si>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</si>
  <si>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</si>
  <si>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</si>
  <si>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</si>
  <si>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</si>
  <si>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</si>
  <si>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</si>
  <si>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</si>
  <si>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</si>
  <si>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</si>
  <si>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</si>
  <si>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</si>
  <si>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</si>
  <si>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</si>
  <si>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</si>
  <si>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</si>
  <si>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</si>
  <si>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</si>
  <si>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</si>
  <si>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</si>
  <si>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</si>
  <si>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</si>
  <si>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</si>
  <si>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</si>
  <si>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</si>
  <si>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</si>
  <si>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</si>
  <si>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</si>
  <si>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</si>
  <si>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</si>
  <si>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</si>
  <si>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</si>
  <si>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</si>
  <si>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</si>
  <si>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</si>
  <si>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</si>
  <si>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</si>
  <si>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</si>
  <si>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</si>
  <si>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</si>
  <si>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</si>
  <si>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</si>
  <si>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</si>
  <si>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</si>
  <si>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</si>
  <si>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</si>
  <si>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</si>
  <si>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</si>
  <si>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</si>
  <si>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</si>
  <si>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</si>
  <si>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</si>
  <si>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</si>
  <si>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</si>
  <si>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</si>
  <si>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</si>
  <si>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</si>
  <si>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</si>
  <si>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</si>
  <si>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</si>
  <si>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</si>
  <si>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</si>
  <si>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</si>
  <si>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</si>
  <si>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</si>
  <si>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</si>
  <si>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</si>
  <si>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</si>
  <si>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</si>
  <si>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</si>
  <si>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</si>
  <si>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</si>
  <si>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</si>
  <si>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</si>
  <si>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</si>
  <si>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</si>
  <si>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</si>
  <si>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</si>
  <si>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</si>
  <si>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</si>
  <si>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</si>
  <si>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</si>
  <si>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</si>
  <si>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</si>
  <si>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</si>
  <si>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</si>
  <si>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</si>
  <si>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</si>
  <si>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</si>
  <si>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</si>
  <si>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</si>
  <si>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</si>
  <si>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</si>
  <si>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</si>
  <si>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</si>
  <si>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</si>
  <si>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</si>
  <si>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</si>
  <si>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</si>
  <si>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</si>
  <si>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</si>
  <si>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</si>
  <si>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</si>
  <si>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</si>
  <si>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</si>
  <si>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</si>
  <si>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</si>
  <si>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</si>
  <si>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</si>
  <si>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</si>
  <si>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</si>
  <si>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</si>
  <si>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</si>
  <si>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</si>
  <si>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</si>
  <si>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</si>
  <si>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</si>
  <si>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</si>
  <si>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</si>
  <si>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</si>
  <si>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</si>
  <si>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</si>
  <si>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</si>
  <si>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</si>
  <si>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</si>
  <si>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</si>
  <si>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</si>
  <si>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</si>
  <si>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</si>
  <si>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</si>
  <si>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</si>
  <si>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</si>
  <si>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</si>
  <si>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</si>
  <si>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</si>
  <si>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</si>
  <si>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</si>
  <si>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</si>
  <si>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</si>
  <si>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</si>
  <si>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</si>
  <si>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</si>
  <si>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</si>
  <si>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</si>
  <si>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</si>
  <si>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</si>
  <si>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</si>
  <si>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</si>
  <si>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</si>
  <si>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</si>
  <si>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</si>
  <si>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</si>
  <si>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</si>
  <si>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</si>
  <si>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</si>
  <si>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</si>
  <si>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</si>
  <si>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</si>
  <si>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</si>
  <si>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</si>
  <si>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02.12.2022.-20.11.2052.</t>
  </si>
  <si>
    <t>A2/1/22/548</t>
  </si>
  <si>
    <t>ERAF projekts (Nr.4.2.2.0/21/A/039) "Ēkas daļas Svētes ielā 33, Jelgavā, energoefektivitātes paaugstināšana" (ZRKAC)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</si>
  <si>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</si>
  <si>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</si>
  <si>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</si>
  <si>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</si>
  <si>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</si>
  <si>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</si>
  <si>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</si>
  <si>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</si>
  <si>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pieaugums pret iepriekšējo gadu</t>
  </si>
  <si>
    <t>Kopējo saistību pieaugums pret iepriekšējo gadu</t>
  </si>
  <si>
    <t>Galvojumi:</t>
  </si>
  <si>
    <t>03.12.2010. - 20.12.2030.</t>
  </si>
  <si>
    <t>18.12.2013. - 20.12.2030.</t>
  </si>
  <si>
    <t>G/13/1206</t>
  </si>
  <si>
    <t>G/20/86</t>
  </si>
  <si>
    <t>10.02.2022.- 20.01.2042.</t>
  </si>
  <si>
    <t>G/22/20</t>
  </si>
  <si>
    <t>10.06.2022.-20.05.2042.</t>
  </si>
  <si>
    <t>G/22/147</t>
  </si>
  <si>
    <t>Galvojumu saistības kopā</t>
  </si>
  <si>
    <t>PAVISAM KOPĀ</t>
  </si>
  <si>
    <t>SAISTĪBAS KOPĀ: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</si>
  <si>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</si>
  <si>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</si>
  <si>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</si>
  <si>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</si>
  <si>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</si>
  <si>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</si>
  <si>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</si>
  <si>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</si>
  <si>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</si>
  <si>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</si>
  <si>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</si>
  <si>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</si>
  <si>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</si>
  <si>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</si>
  <si>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</si>
  <si>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</si>
  <si>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</si>
  <si>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</si>
  <si>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</si>
  <si>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</si>
  <si>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</si>
  <si>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</si>
  <si>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</si>
  <si>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</si>
  <si>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</si>
  <si>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</si>
  <si>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</si>
  <si>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</si>
  <si>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</si>
  <si>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</si>
  <si>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</si>
  <si>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</si>
  <si>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</si>
  <si>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</si>
  <si>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</si>
  <si>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</si>
  <si>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</si>
  <si>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</si>
  <si>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</si>
  <si>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</si>
  <si>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</si>
  <si>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</si>
  <si>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</si>
  <si>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</si>
  <si>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</si>
  <si>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</si>
  <si>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</si>
  <si>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</si>
  <si>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</si>
  <si>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</si>
  <si>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</si>
  <si>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</si>
  <si>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10.922. Braukšanas maksas atvieglojumi skolēniem sabiedriskajā transportā</t>
  </si>
  <si>
    <t>09.640.2.Pārējo papildu pakalpojumu nodrošināšana izglītojamajiem Jelgavas Pārlielupes pamatskolas baseinā</t>
  </si>
  <si>
    <t>09.640.1. Asistentu pakalpojumu nodrošināšana</t>
  </si>
  <si>
    <t>09.620.1. Izglītojamo ēdināšanas pakalpojumu nodrošināšana</t>
  </si>
  <si>
    <t>09.512. Jelgavas Mākslas skolas darbības nodrošināšana</t>
  </si>
  <si>
    <t>09.222.3. Jelgavas Amatu vidusskolas projektu īstenošana - kopsavilkums</t>
  </si>
  <si>
    <t>09.222.2. Jelgavas Amatu vidusskolas darbības nodrošināšana</t>
  </si>
  <si>
    <t>09.219.3. Jelgavas vispārizglītojošo skolu projektu īstenošana</t>
  </si>
  <si>
    <t>09.219.1. Jelgavas vispārizglītojošo skolu darbības nodrošināšana</t>
  </si>
  <si>
    <t>01.831. Transferti citām pašvaldībām izglītības funkciju nodrošināšanai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</si>
  <si>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</si>
  <si>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</si>
  <si>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</si>
  <si>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</si>
  <si>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</si>
  <si>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</si>
  <si>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</si>
  <si>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</si>
  <si>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</si>
  <si>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10.504. Atbalsts Bezdarba gadījumā</t>
  </si>
  <si>
    <t>06.602. Pašvaldības teritorijas, mežu un kapsētu apsaimniekošana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</si>
  <si>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</si>
  <si>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</si>
  <si>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</si>
  <si>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</si>
  <si>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03.202. Pašvaldības operatīvais informācijas centrs un civilā aizsardzība</t>
  </si>
  <si>
    <t>01.331. Centralizēto datoru un datortīklu uzturēšana</t>
  </si>
  <si>
    <t>08.405. Dotācijas biedrībām un nodibinājumiem</t>
  </si>
  <si>
    <t>08.401. Dotācijas projektu realizācijai NVO</t>
  </si>
  <si>
    <t>05.303. Finansējums pašvaldības kapitālsabiedrībām vides aizsardzības pasākumu īstenošanai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</si>
  <si>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</si>
  <si>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</si>
  <si>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</si>
  <si>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</si>
  <si>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</si>
  <si>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08.292. Pilsētas nozīmes pasākumi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</si>
  <si>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</si>
  <si>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</si>
  <si>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</si>
  <si>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</si>
  <si>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</si>
  <si>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04.510.533. ERAF projekts 'Tehniskās infrastruktūras sakārtošana uzņēmējdarbības attīstībai Rubeņu ceļa rūpnieciskajā teritorijā'</t>
  </si>
  <si>
    <t>01.111. Izpildvaras institūcija</t>
  </si>
  <si>
    <t>Nosaukums</t>
  </si>
  <si>
    <t>4.pielikums</t>
  </si>
  <si>
    <t>18.05.2023.-20.04.2033.</t>
  </si>
  <si>
    <t>A2/1/23/108</t>
  </si>
  <si>
    <t>09.06.2023.-20.05.2053.</t>
  </si>
  <si>
    <t>A2/1/23/136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</si>
  <si>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</si>
  <si>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</si>
  <si>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PAVISAM KOPĀ:</t>
  </si>
  <si>
    <t>04.510.536.</t>
  </si>
  <si>
    <t>Projekts "2., 3.līnijas un Nameja ielas posma Jelgavā pārbūve"</t>
  </si>
  <si>
    <t>AS "SEB banka"</t>
  </si>
  <si>
    <t>03.08.2023.-25.07.2030.</t>
  </si>
  <si>
    <t>A2/1/23/253</t>
  </si>
  <si>
    <t>09.08.2023.-20.07.2046.</t>
  </si>
  <si>
    <t>10.08.2023.-20.07.2053.</t>
  </si>
  <si>
    <t>A2/1/23/260</t>
  </si>
  <si>
    <t>15.08.2023.-20.07.2053.</t>
  </si>
  <si>
    <t>A2/1/23/268</t>
  </si>
  <si>
    <t>A2/1/23/303</t>
  </si>
  <si>
    <t>01.334.</t>
  </si>
  <si>
    <t>Projekts "Atvieglojumu vienotās informācijas sistēmas un latvija.lv atvēršana komersantiem un valsts un pašvaldības vienoto klientu apkalpošanas centru attīstība"</t>
  </si>
  <si>
    <t>05.400.</t>
  </si>
  <si>
    <t>Bioloģiskās daudzveidības un ainavas aizsardzība</t>
  </si>
  <si>
    <t>05.401.</t>
  </si>
  <si>
    <t>Projekts "Īpaši aizsargājamās dabas teritorijas - dabas lieguma "Lielupes palienes pļavas" dabas aizsardzības plāna aktualizēšana"</t>
  </si>
  <si>
    <t>09.113.</t>
  </si>
  <si>
    <t>Jelgavas pirmsskolas izglītības iestāžu projektu īstenošana</t>
  </si>
  <si>
    <t>7.pielikums</t>
  </si>
  <si>
    <t>17. FINANSĒŠANA</t>
  </si>
  <si>
    <t>09.113. Jelgavas pirmsskolas izglītības iestāžu projektu īstenošana</t>
  </si>
  <si>
    <t>05.10.2023.-20.09.2053.</t>
  </si>
  <si>
    <t>A2/1/23/416</t>
  </si>
  <si>
    <t>A2/1/23/417</t>
  </si>
  <si>
    <t>Projekts "2., 3. līnijas un Nameja ielas posma pārbūve, Jelgavā"</t>
  </si>
  <si>
    <t>projekts</t>
  </si>
  <si>
    <t>Būvprojekta "Jelgavas Spīdolas Valsts ģimnāzijas bibliotēkas jaunbūves, sporta stadiona pārbūves un teritorijas labiekārtošana" izstrāde</t>
  </si>
  <si>
    <t>Projekts "Jelgavas Centra pamatskola" telpu vienkāršotā atjaunošana un virtuves iekārtu piegāde, uzstādīšana"</t>
  </si>
  <si>
    <t>Projekts "Jelgavas valstspilsētas pašvaldības pirmsskolas izglītības iestādes "Gaismiņa" katlu mājas pārbūve par saimniecības ēku"</t>
  </si>
  <si>
    <t>Projekts “Jelgavas valstspilsētas pašvaldības izglītības iestādes “Jelgavas Centra pamatskolas” stadiona pārbūve”</t>
  </si>
  <si>
    <t>Projekts "Jelgavas valstspilsētas pašvaldības izglītības iestādes "Jelgavas Pārlielupes pamatskola" jumta seguma nomaiņa"</t>
  </si>
  <si>
    <t>14.11.2023.-20.10.2053.</t>
  </si>
  <si>
    <t>728F</t>
  </si>
  <si>
    <t>A2/1/23/468</t>
  </si>
  <si>
    <t>08.11.2023.-20.10.2046</t>
  </si>
  <si>
    <t>727F</t>
  </si>
  <si>
    <t>A2/1/23/467</t>
  </si>
  <si>
    <t>08.11.2023.-20.10.2041.</t>
  </si>
  <si>
    <t>726F</t>
  </si>
  <si>
    <t>A2/1/23/466</t>
  </si>
  <si>
    <t>08.11.2023.-20.10.2043.</t>
  </si>
  <si>
    <t>725F</t>
  </si>
  <si>
    <t>A2/1/23/465</t>
  </si>
  <si>
    <t>724F</t>
  </si>
  <si>
    <t>723F</t>
  </si>
  <si>
    <t>5.04% (F)</t>
  </si>
  <si>
    <t>722F</t>
  </si>
  <si>
    <t>729F</t>
  </si>
  <si>
    <t>17.11.2023.-20.10.2053.</t>
  </si>
  <si>
    <t>A2/1/23/471</t>
  </si>
  <si>
    <t>4.915% (F)</t>
  </si>
  <si>
    <t>730F</t>
  </si>
  <si>
    <t>17.11.2023.-20.10.2028.</t>
  </si>
  <si>
    <t>A2/1/23/472</t>
  </si>
  <si>
    <t>4.152% (F)</t>
  </si>
  <si>
    <t>06.04.2023.-20.12.2036.</t>
  </si>
  <si>
    <t>Nr.2023005217/G-2</t>
  </si>
  <si>
    <t>01.601. Vēlēšanu organizēšana</t>
  </si>
  <si>
    <t>JELGAVAS VALSTSPILSĒTAS PAŠVALDĪBAS 
2024.GADA BUDŽETS</t>
  </si>
  <si>
    <t>Plāns 2024.gadam, EUR</t>
  </si>
  <si>
    <t>JELGAVAS VALSTSPILSĒTAS PAŠVALDĪBAS 2024.GADA BUDŽETS</t>
  </si>
  <si>
    <t>04.510.537.</t>
  </si>
  <si>
    <t xml:space="preserve">Projekts "Būvniecības ieceres dokumentācijas "Pārvada pār dzelzceļu Lietuvas šosejā, Jelgavā, atjaunošana"izstrāde" </t>
  </si>
  <si>
    <t>04.510.538.</t>
  </si>
  <si>
    <t>Projekts "Lielupes tilta balstu zemūdens remontdarbu veikšana"</t>
  </si>
  <si>
    <t>04.918.</t>
  </si>
  <si>
    <t>Interreg Baltijas jūras reģiona programmas projekts "Jaunuzņēmumi (START-UP) saules energokopienām"</t>
  </si>
  <si>
    <t>08.110.</t>
  </si>
  <si>
    <t>ERAF projekts "Pārlielupes skeitparka būvniecība ārtelpas attīstībai Jelgavā"</t>
  </si>
  <si>
    <t>Līmeņos nedefinētā izglītība</t>
  </si>
  <si>
    <t>10.120.31.</t>
  </si>
  <si>
    <t>AF projekts "Mājokļu vides pieejamības nodrošināšana cilvēkiem ar invaliditāti Jelgavas valstspilsētā"</t>
  </si>
  <si>
    <t>10.715.</t>
  </si>
  <si>
    <t>Krīzes centrs</t>
  </si>
  <si>
    <t>Ieņēmumi no uzņēmējdarbības un īpašuma</t>
  </si>
  <si>
    <t>08.300.</t>
  </si>
  <si>
    <t xml:space="preserve"> Ieņēmumi no dividendēm (ieņēmumi no valsts (pašvaldību) kapitāla izmantošanas)</t>
  </si>
  <si>
    <t>Precizētais plāns uz 23.05.2024, EUR</t>
  </si>
  <si>
    <t>04.510.539.</t>
  </si>
  <si>
    <t>Projekts "Miera ielas pārbūve posmā no tilta pār Platones upi līdz graudu ielai, Jelgavā"</t>
  </si>
  <si>
    <t>Jelgavas pirmsskolas izglītības iestāžu darbības nodrošināšana</t>
  </si>
  <si>
    <t>Jelgavas pamatskola "Valdeka"-attīstības centrs darbības nodrošināšana</t>
  </si>
  <si>
    <t>09.536.</t>
  </si>
  <si>
    <t>6.pielikums</t>
  </si>
  <si>
    <t>Ziedojumu un dāvinājumu budžeta resursi, EUR</t>
  </si>
  <si>
    <t>Ieņēmumu grozījumi               + vai -</t>
  </si>
  <si>
    <t>23.410.</t>
  </si>
  <si>
    <t>Ieņēmumi no juridiskām personām</t>
  </si>
  <si>
    <t>23.510.</t>
  </si>
  <si>
    <t>Ieņēmumi no fiziskām personām</t>
  </si>
  <si>
    <t>PAVISAM RESURSI KOPĀ</t>
  </si>
  <si>
    <t>Ziedojumu un dāvinājumu budžeta izdevumi, EUR</t>
  </si>
  <si>
    <t>Valdības funkcijas kods</t>
  </si>
  <si>
    <t>Resursi izdevumu segšanai</t>
  </si>
  <si>
    <t>Izdevumu grozījumi          + vai -</t>
  </si>
  <si>
    <t>Ziedojumi/ dāvinājumi</t>
  </si>
  <si>
    <t>PI "Sporta servisa centrs" darbības nodrošināšana</t>
  </si>
  <si>
    <t>PI "Ģ.Eliasa Jelgavas Vēstures un mākslas muzejs" darbības nodrošināšana</t>
  </si>
  <si>
    <t>PI  "Kultūra" darbības nodrošināšana</t>
  </si>
  <si>
    <t>PI "Jelgavas Izglītības pārvalde" darbības nodrošināšana</t>
  </si>
  <si>
    <t>10.923.</t>
  </si>
  <si>
    <t>Ārkārtas pabalstu izmaksa (JIP)</t>
  </si>
  <si>
    <t>PAVISAM IZDEVUMI KOPĀ</t>
  </si>
  <si>
    <t>Jelgavas valstspilsētas pašvaldības 2024.gada ziedojumu un dāvinājumu budžeta kopsavilkums</t>
  </si>
  <si>
    <t>Resursu plāns 2024.gadam</t>
  </si>
  <si>
    <t>Precizētais resursu plāns uz 23.05.2024.</t>
  </si>
  <si>
    <t>Naudas līdzekļu atlikums uz 31.12.2023.</t>
  </si>
  <si>
    <t>Izdevumu plāns uz 2024.gadam</t>
  </si>
  <si>
    <t>Precizētais izdevumu plāns uz 23.05.2024.</t>
  </si>
  <si>
    <t>Priekšfinansējuma atmaksas uz 22.04.2024.</t>
  </si>
  <si>
    <t>Galvojumu līgumsumma kopā</t>
  </si>
  <si>
    <t>-</t>
  </si>
  <si>
    <t>SIA "Jelgavas komunālie pakalpojumi" - projektam "Bioloģiski noārdāmo atkritumu pārstrādes laukuma izbūve" un ERAF projektam "Tādu bioloģiski noārdāmo atkritumu pārstrādes iekārtu izveide poligonā "Brakšķi', kas izmanto anaerobo pārstrādes metodi" (03.08.2023. aizdevuma līgumam Nr.2023005217</t>
  </si>
  <si>
    <t>Galvojums SIA "Jelgavas Poliklīnika" norobežojošo konstrukciju energoefektivitātes paaugstināšana (10.06.2022.aizdevuma līgums Nr.1/1/22/148)</t>
  </si>
  <si>
    <t>Galvojums SIA "Jelgavas Poliklīnika" norobežojošo konstrukciju energoefektivitātes paaugstināšana (10.02.2022.aizdevuma līgums Nr.1/1/22/21)</t>
  </si>
  <si>
    <t>16.03.2020.-21.02.2050.</t>
  </si>
  <si>
    <t>Galvojums SIA "Jelgavas ūdens" - Kohēzijas fonda līdzfinansētā projekta "Ūdensapgādes un kanalizācijas pakalpojumu attīstība Jelgavā, V kārta" īstenošanai (16.03.2020.aizdevuma līgums Nr.A/1/20/85)</t>
  </si>
  <si>
    <t>Galvojums SIA "Jelgavas ūdens" - Kohēzijas fonda līdzfinansētā projekta "Ūdensapgādes un kanalizācijas pakalpojumu attīstība Jelgavā, III kārta" īstenošanai (18.12.2013.aizdevuma līgums Nr.A/1/13/1205)</t>
  </si>
  <si>
    <t>G/10/1026</t>
  </si>
  <si>
    <t>Galvojums SIA "Jelgavas ūdens" - Kohēzijas fonda līdzfinansētā projekta "Ūdensapgādes un kanalizācijas pakalpojumu attīstība Jelgavā, II kārta" īstenošanai (03.12.2020.aizdevuma līgums Nr.A/1/10/1025)</t>
  </si>
  <si>
    <t>Procentu maksājumu pieaugums pret iepriekšējo gadu</t>
  </si>
  <si>
    <t xml:space="preserve">KOPĀ pamatsummu maksājumi         </t>
  </si>
  <si>
    <t>Pamatsummu atmaksa 2024.g. pēc grafika</t>
  </si>
  <si>
    <t>26.04.2024.</t>
  </si>
  <si>
    <t>02.04.2024.</t>
  </si>
  <si>
    <t>23.02.2024.</t>
  </si>
  <si>
    <t>03.01.2024.</t>
  </si>
  <si>
    <t>F</t>
  </si>
  <si>
    <t>EKII projekts "Siltumnīcefekta gāzu emisiju samazināšana Jelgavas valstspilsētas pašvaldības publisko teritoriju apgaismojuma infrastruktūrā"</t>
  </si>
  <si>
    <t>A2/1/24/17</t>
  </si>
  <si>
    <t>23.04.2024.-20.04.2039.</t>
  </si>
  <si>
    <t>733F</t>
  </si>
  <si>
    <t>4,197% (F)</t>
  </si>
  <si>
    <t>A2/1/24/10</t>
  </si>
  <si>
    <t>18.03.2024.-20.02.2054.</t>
  </si>
  <si>
    <t>732F</t>
  </si>
  <si>
    <t>Prioritārais investīciju projekts "Pilssalas ielas degradētās teritorijas sakārtošana"</t>
  </si>
  <si>
    <t>A2/1/23/481</t>
  </si>
  <si>
    <t>18.12.2023.-20.11.2036.</t>
  </si>
  <si>
    <t>731F</t>
  </si>
  <si>
    <t>A2/1/23/470</t>
  </si>
  <si>
    <t>Projekts "Pirmsskolas izglītības iestādes "Kamolītis" telpu vienkāršotā atjaunošana un virtuves iekārtu piegāde, uzstādīšana"</t>
  </si>
  <si>
    <t>Projekts "Pirmsskolas izglītības iestādes "Sprīdītis" garāžas un palīgtelpu pārbūve  par PII grupas telpām Skolas ielā "2, Jelgavā"</t>
  </si>
  <si>
    <t>Prioritārais investīciju projekts "Jelgavas Bērnu un jaunatnes sporta skolas infrastruktūras attīstība"</t>
  </si>
  <si>
    <t>ERAF projekts “Jelgavas pašvaldības operatīvās informācijas centra ēkas Sarmas ielā 4 energoefektivitātes paaugstināšana”</t>
  </si>
  <si>
    <t>Būvprojektu “Miera ielas un esošā Miera ielas, Aizsargu ielas un Bauskas ielas rotācijas apļa pārbūve, Jelgavā”, “Aizsargu ielas pārbūve, Jelgavā” un “Bauskas ielas pārbūve, Jelgavā” izstrāde (COVID)</t>
  </si>
  <si>
    <t>KF projekts "Videi draudzīgas sabiedriskā transporta infrastruktūras attīstība Jelgavā" - Riska likme</t>
  </si>
  <si>
    <t>Lat -Lit pārrobežu sadarbības projekts "Tehniskās bāzes un operatīvo dienestu speciālistu fiziskās kapacitātes uzlabošana Latvijas un Lietuvas pierobežas reģionā (All for safety)"</t>
  </si>
  <si>
    <t>Izglītības iestādes investīciju projekts "Jelgavas pilsētas pašvaldības pirmsskolas izglītības iestādes "Gaismiņa" telpu vienkāršota atjaunošana"</t>
  </si>
  <si>
    <t>% likme</t>
  </si>
  <si>
    <t>SAISTĪBAS KOPĀ</t>
  </si>
  <si>
    <t>2044-2054</t>
  </si>
  <si>
    <t>Atmaksas periods</t>
  </si>
  <si>
    <t>Aizdevuma summa</t>
  </si>
  <si>
    <t>STR</t>
  </si>
  <si>
    <r>
      <t xml:space="preserve"> JELGAVAS VALSTSPILSĒTAS PAŠVALDĪBAS ILGTERMIŅA SAISTĪBAS, </t>
    </r>
    <r>
      <rPr>
        <b/>
        <i/>
        <sz val="14"/>
        <rFont val="Times New Roman"/>
        <family val="1"/>
      </rPr>
      <t>euro</t>
    </r>
  </si>
  <si>
    <t>Projekts "Miera ielas pārbūve posmā no tilta pār Platones upi līdz Graudu ielai"</t>
  </si>
  <si>
    <t>Priekšfinansējuma atmaksas uz 30.04.2024.</t>
  </si>
  <si>
    <t>9000. Kapitālo izdevumu transferti</t>
  </si>
  <si>
    <t>10.911. JVPI ''Jelgavas sociālo lietu pārvalde'' darbības nodrošināšana</t>
  </si>
  <si>
    <t>10.715. Krīzes centrs</t>
  </si>
  <si>
    <t>10.124. Dienas centrs ''Atbalsts''</t>
  </si>
  <si>
    <t>10.123. Dienas centrs ''Integra''</t>
  </si>
  <si>
    <t>10.122. Dienas centrs ''Harmonija''</t>
  </si>
  <si>
    <t>17. JELGAVAS VALSTSPILSĒTAS PAŠVALDĪBAS IESTĀDE ''JELGAVAS SOCIĀLO LIETU PĀRVALDE''</t>
  </si>
  <si>
    <t>10.403. JVPI ''Jelgavas valstspilsētas bāriņtiesa' darbības nodrošināšana</t>
  </si>
  <si>
    <t>16. JELGAVAS VALSTSPILSĒTAS PAŠVALDIBAS IESTĀDE ''JELGAVASVALSTSPILSĒTAS BĀRIŅTIESA''</t>
  </si>
  <si>
    <t>09.811. JVPI ''Jelgavas izglītības pārvalde'' darbības nodrošināšana</t>
  </si>
  <si>
    <t>09.630.1. Izglītojamo izmitināšanas pakalpojumu nodrošināšana Jelgavas pamatskolas ''Valdeka'' - attīstības centra dienesta viesnīcā</t>
  </si>
  <si>
    <t>09.511. Pārējie interešu izglītības pasākumi, t.sk. Jaunrades nama ''Junda'' darbības nodrošināšana</t>
  </si>
  <si>
    <t>09.219.10. Projekts ''Jelgavas valstspilsētas pašvaldības iestādes ''Jelgavas Centra pamatskola'' stadiona pārbūve''</t>
  </si>
  <si>
    <t>15. JELGAVAS VALSTSPILSĒTAS PAŠVALDĪBAS IESTĀDE ''JELGAVAS IZGLĪTĪBAS PĀRVALDE''</t>
  </si>
  <si>
    <t>09.532. JVPI ''Zemgales reģiona kompetenču attīstības centrs'' projektu īstenošana</t>
  </si>
  <si>
    <t>09.531. JVPI ''Zemgales reģiona kompetenču attīstības centrs'' darbības nodrošināšana</t>
  </si>
  <si>
    <t>14. JELGAVAS VALSTSPILSĒTAS PAŠVALDĪBAS PROFESIONĀLĀS TĀLĀKIZGLĪTĪBAS IESTĀDE ''ZEMGALES REĢIONA KOMPETENČU ATTĪSTĪBAS CENTRS''</t>
  </si>
  <si>
    <t>09.536. Eiropas Sociālā fonda Plus projekts ''Proti un dari 2.0''</t>
  </si>
  <si>
    <t>08.621. JVPI ''Sabiedriskais centrs'' darbības nodrošināšana</t>
  </si>
  <si>
    <t>13. JELGAVAS VALSTSPILSĒTAS PAŠVALDĪBAS IESTĀDE ''SABIEDRISKAIS CENTRS''</t>
  </si>
  <si>
    <t>08.232. JVPI ''Kultūra'' pasākumi</t>
  </si>
  <si>
    <t>08.231. JVPI ''Kultūra'' darbības nodrošināšana</t>
  </si>
  <si>
    <t>12. JELGAVAS VALSTSPILSĒTAS PAŠVALDĪBAS IESTĀDE ''KULTŪRA''</t>
  </si>
  <si>
    <t>08.221. JVPI ''Ģ.Eliasa Jelgavas Vēstures un mākslas muzejs'' darbības nodrošināšana</t>
  </si>
  <si>
    <t>11. JELGAVAS VALSTSPILSĒTAS PAŠVALDĪBAS IESTĀDE ''Ģ.ELIASA JELGAVAS VĒSTURES UN MĀKSLAS MUZEJS''</t>
  </si>
  <si>
    <t>08.211. JVPI ''Jelgavas Pilsētas bibliotēka'' darbības nodrošināšana</t>
  </si>
  <si>
    <t>10. JELGAVAS VALSTSPILSĒTAS PAŠVALDĪBAS IESTĀDE ''JELGAVAS PILSĒTAS BIBLIOTĒKA''</t>
  </si>
  <si>
    <t>08.101. JVPI ''Sporta servisa centrs'' darbības nodrošināšana</t>
  </si>
  <si>
    <t>09. JELGAVAS VALSTSPILSĒTAS PAŠVALDĪBAS IESTĀDE ''SPORTA SERVISA CENTRS''</t>
  </si>
  <si>
    <t>06.601. JVPI ''Pilsētsaimniecība'' darbības nodrošināšana</t>
  </si>
  <si>
    <t>06.404.  Emisijas kvotu izsolīšanas instrumenta projekts - ''Siltumnīcefekta gāzu emisiju samazināšana Jelgavas valstspilsētas pašvaldības publisko teritoriju apgaismojuma infrastruktūrā''</t>
  </si>
  <si>
    <t>04.510.539. Projekts ''Miera ielas pārūve posmā no tilta pār Platones upi līdz Graudu ielai, Jelgavā''</t>
  </si>
  <si>
    <t>04.510.538. Projekts ''Lielupes tilta balstu zemūdens remontdarbu veikšana''</t>
  </si>
  <si>
    <t>04.510.537. Projekts ''Būvniecības ieceres dokumentācijas ''Pārvada pār dzelzceļu Lietuvas šosejā, Jelgavā, atjaunošana'' izstrāde''</t>
  </si>
  <si>
    <t>04.510.536. Projekts ''2., 3.līnijas un Nameja ielas posma Jelgavā pārbūve''</t>
  </si>
  <si>
    <t>04.510.534. Projekts ''Aizsargu ielas seguma atjaunošana''</t>
  </si>
  <si>
    <t>08. JELGAVAS VALSTSPILSĒTAS PAŠVALDĪBAS IESTĀDE ''PILSĒTSAIMNIECĪBA''</t>
  </si>
  <si>
    <t>04.733. JVPI ''Jelgavas reģionālais tūrisma centrs'' darbības nodrošināšana</t>
  </si>
  <si>
    <t>07. JELGAVAS VALSTSPILSĒTAS PAŠVALDĪBAS IESTĀDE ''JELGAVAS REĢIONĀLAIS TŪRISMA CENTRS''</t>
  </si>
  <si>
    <t>04.746. ''Apvārsnis 2020'' programmas projekts ''Impetus''</t>
  </si>
  <si>
    <t>04.745. ''Apvārsnis 2020'' programmas projekts ''Wellbased''</t>
  </si>
  <si>
    <t>01.334. Projekts ''Atvieglojumu vienotās informācijas sistēmas un latvija.lv atvēršana komersantiem un valsts un pašvaldības vienoto klientu apkalpošanas centru attīstība''</t>
  </si>
  <si>
    <t>01.333. JVPI ''Jelgavas digitālais centrs'' darbības nodrošināšana</t>
  </si>
  <si>
    <t>06. JELGAVAS VALSTSPILSĒTAS PAŠVALDĪBAS IESTĀDE ''JELGAVAS DIGITĀLAIS CENTRS''</t>
  </si>
  <si>
    <t>03.111. JVPI ''Jelgavas pašvaldības policija'' darbības nodrošināšana</t>
  </si>
  <si>
    <t>05. JELGAVAS VALSTSPILSĒTAS PAŠVALDĪBAS IESTĀDE ''JELGAVAS PAŠVALDĪBAS POLICIJA''</t>
  </si>
  <si>
    <t>01.123. JVPI ''Pašvaldības iestāžu centralizētā grāmatvedība'' darbības nodrošināšana</t>
  </si>
  <si>
    <t>04. JELGAVAS VALSTSPILSĒTAS PAŠVALDĪBAS IESTĀDE ''PAŠVALDĪBAS IESTĀŽU CENTRALIZĒTĀ GRĀMATVEDĪBA''</t>
  </si>
  <si>
    <t>06.603. Pašvaldības īpašumu apsaimniekošana - finansējums SIA ''Jelgavas nekustamā īpašuma pārvalde''</t>
  </si>
  <si>
    <t>05.102.  Pilsētas sanitārā tīrīšana - SIA ''Zemgales EKO'' funkcija</t>
  </si>
  <si>
    <t>04.917. Jelgavas valstspilsētas pašvaldības grantu programma ''Atbalsts komersantiem un saimnieciskās darbības veicējiem''</t>
  </si>
  <si>
    <t>03. JELGAVAS VALSTSPILSĒTAS PAŠVALDĪBAS IESTĀDES ''CENTRĀLĀ PĀRVALDE'' FINANŠU DEPARTAMENTS</t>
  </si>
  <si>
    <t>01.117. Jelgavas valstspilsētas pašvaldības un Jelgavas novada pašvaldības kopīgās iestādes ''Jelgavas valstspilsētas un novada Dzimtsarakstu nodaļa'' darbības nodrošināšana</t>
  </si>
  <si>
    <t>02. JELGAVAS VALSTSPILSĒTAS PAŠVALDĪBAS UN JELGAVAS NOVADA PAŠVALDĪBAS KOPĪGĀ IESTĀDE ''JELGAVAS VALSTSPILSĒTAS UN NOVADA DZIMTSARAKSTU NODAĻA''</t>
  </si>
  <si>
    <t>10.120.31. AF projekts ''Mājokļu vides pieejamības nodrošināšana cilvēkiem ar invaliditāti Jelgavas valstspilsētā''</t>
  </si>
  <si>
    <t>09.823. Projekts ''Uzņēmējdarbības atbalsta pasākumi Zemgales plānošanas reģionā''</t>
  </si>
  <si>
    <t>09.519.05. Pašvaldības investīciju projekts ''Jelgavas Bērnu un jaunatnes sporta skolas infrastruktūras attīstība''</t>
  </si>
  <si>
    <t>09.519.04. Latvijas - Lietuvas pārrobežu sadarbības programmas projekts ''Sociālajam riskam pakļauto bērnu un jauniešu integrācija Jelgavas un Šauļu pilsētas pašvaldībās''</t>
  </si>
  <si>
    <t>08.110. ERAF projekts ''Pārlielupes skeitparka būvniecība ārtelpas attīstībai Jelgavā''</t>
  </si>
  <si>
    <t>05.401. Projekts ''Īpaši aizsargājamās dabas teritorijas - dabas lieguma ''Lielupes palienes pļavas'' dabas aizsardzības plāna aktualizēšana''</t>
  </si>
  <si>
    <t>04.918. INTERREG Baltijas jūras reģiona programmas projekts ''Jaunuzņēmumi (START-UP) saules energokopienām''</t>
  </si>
  <si>
    <t>04.744. ERAF projekts ''Pilssalas ielas degradētās teritorijas sakārtošana''</t>
  </si>
  <si>
    <t>04.738. Latvijas - Lietuvas pārrobežu sadarbības programmas projekts ''Kopīga pārrobežu tūrisma piedāvājuma ''Saules ceļš'' izveide''</t>
  </si>
  <si>
    <t>01.116. Projekts - ''Ēkas Pasta ielā 32, Jelgavā, pārbūve par dzimtsarakstu nodaļu''</t>
  </si>
  <si>
    <t>01.113. Projekts - ''Komunikācija ar sabiedrību tās iesaistei pašvaldības lēmumu pieņemšanā''</t>
  </si>
  <si>
    <t>01. JELGAVAS VALSTSPILSĒTAS PAŠVALDĪBAS IESTĀDE ''CENTRĀLĀ PĀRVALDE''</t>
  </si>
  <si>
    <t>Grozījumi + vai -</t>
  </si>
  <si>
    <t>JELGAVAS VALSTSPILSĒTAS PAŠVALDĪBAS 2024.GADA PAMATBUDŽETS ATŠIFRĒJUMĀ PA PROGRAMMĀM UN EKONOMISKĀS KLASIFIKĀCIJAS KODIEM</t>
  </si>
  <si>
    <t>2024.gada plāns</t>
  </si>
  <si>
    <t>Precizētais plāns uz 23.05.2024.</t>
  </si>
  <si>
    <t>09.101. Jelgavas pirmsskolas izglītības iestāžu darbības nodrošināšana</t>
  </si>
  <si>
    <t>09.219.2. Jelgavas pamatskola "Valdeka"-attīstības centrs darbības nodrošināšana</t>
  </si>
  <si>
    <t>JELGAVAS VALSTSPILSĒTAS PAŠVALDĪBAS 2024.GADA ZIEDOJUMU UN DĀVINĀJUMU BUDŽETS ATŠIFRĒJUMĀ PA PROGRAMMĀM UN EKONOMISKĀS KLASIFIKĀCIJAS KODIEM</t>
  </si>
  <si>
    <t>12.349.</t>
  </si>
  <si>
    <t xml:space="preserve">Ieņēmumi no budžeta iestādēm atmaksātiem pārējiem debitoru parādiem </t>
  </si>
  <si>
    <t>SAISTOŠAJIEM NOTEIKUMIEM Nr.24-14</t>
  </si>
  <si>
    <t>23.05.2024. prot.Nr.6/1</t>
  </si>
  <si>
    <t>23.05.2024. prot. Nr.6/1</t>
  </si>
  <si>
    <t>23.05.2024. Nr.6/1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</si>
</sst>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i/>
      <sz val="9"/>
      <color indexed="10"/>
      <name val="Times New Roman"/>
      <family val="1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Arial"/>
      <family val="2"/>
    </font>
    <font>
      <i/>
      <sz val="9"/>
      <color rgb="FFFF0000"/>
      <name val="Times New Roman"/>
      <family val="1"/>
    </font>
    <font>
      <i/>
      <sz val="8"/>
      <color rgb="FFFF0000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thin">
        <color theme="0" tint="-0.24993999302387238"/>
      </top>
      <bottom style="thin"/>
    </border>
    <border>
      <left style="hair"/>
      <right style="hair"/>
      <top style="thin"/>
      <bottom style="thin">
        <color theme="0" tint="-0.24993999302387238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thin">
        <color theme="0" tint="-0.24993999302387238"/>
      </bottom>
    </border>
    <border>
      <left style="hair"/>
      <right style="hair"/>
      <top style="thin">
        <color theme="0" tint="-0.24993999302387238"/>
      </top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5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/>
    </xf>
    <xf numFmtId="0" fontId="85" fillId="0" borderId="0" xfId="0" applyFont="1" applyAlignment="1">
      <alignment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7" fillId="9" borderId="10" xfId="0" applyNumberFormat="1" applyFont="1" applyFill="1" applyBorder="1" applyAlignment="1">
      <alignment vertical="center"/>
    </xf>
    <xf numFmtId="0" fontId="84" fillId="0" borderId="0" xfId="0" applyFont="1" applyAlignment="1">
      <alignment wrapText="1"/>
    </xf>
    <xf numFmtId="0" fontId="86" fillId="0" borderId="0" xfId="0" applyFont="1" applyAlignment="1">
      <alignment/>
    </xf>
    <xf numFmtId="0" fontId="87" fillId="7" borderId="10" xfId="0" applyFont="1" applyFill="1" applyBorder="1" applyAlignment="1">
      <alignment horizontal="right" vertical="center"/>
    </xf>
    <xf numFmtId="0" fontId="87" fillId="7" borderId="10" xfId="0" applyFont="1" applyFill="1" applyBorder="1" applyAlignment="1">
      <alignment horizontal="left" vertical="center" wrapText="1" indent="2"/>
    </xf>
    <xf numFmtId="0" fontId="88" fillId="7" borderId="10" xfId="0" applyFont="1" applyFill="1" applyBorder="1" applyAlignment="1">
      <alignment vertical="center"/>
    </xf>
    <xf numFmtId="0" fontId="88" fillId="7" borderId="10" xfId="0" applyFont="1" applyFill="1" applyBorder="1" applyAlignment="1">
      <alignment vertical="center" wrapText="1"/>
    </xf>
    <xf numFmtId="0" fontId="89" fillId="0" borderId="0" xfId="0" applyFont="1" applyAlignment="1">
      <alignment/>
    </xf>
    <xf numFmtId="0" fontId="89" fillId="0" borderId="0" xfId="0" applyFont="1" applyAlignment="1">
      <alignment wrapText="1"/>
    </xf>
    <xf numFmtId="0" fontId="87" fillId="0" borderId="0" xfId="0" applyFont="1" applyAlignment="1">
      <alignment/>
    </xf>
    <xf numFmtId="0" fontId="8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7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5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7" fillId="7" borderId="10" xfId="0" applyFont="1" applyFill="1" applyBorder="1" applyAlignment="1">
      <alignment horizontal="right" vertical="center" wrapText="1"/>
    </xf>
    <xf numFmtId="0" fontId="90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7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15" fillId="0" borderId="0" xfId="59" applyFont="1">
      <alignment/>
      <protection/>
    </xf>
    <xf numFmtId="4" fontId="11" fillId="13" borderId="12" xfId="59" applyNumberFormat="1" applyFont="1" applyFill="1" applyBorder="1" applyAlignment="1">
      <alignment horizontal="center" vertical="center"/>
      <protection/>
    </xf>
    <xf numFmtId="4" fontId="11" fillId="13" borderId="13" xfId="59" applyNumberFormat="1" applyFont="1" applyFill="1" applyBorder="1" applyAlignment="1">
      <alignment horizontal="center" vertical="center"/>
      <protection/>
    </xf>
    <xf numFmtId="0" fontId="23" fillId="0" borderId="0" xfId="59" applyFont="1" applyFill="1" applyBorder="1">
      <alignment/>
      <protection/>
    </xf>
    <xf numFmtId="0" fontId="11" fillId="13" borderId="14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4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4" borderId="10" xfId="59" applyNumberFormat="1" applyFont="1" applyFill="1" applyBorder="1" applyAlignment="1">
      <alignment horizontal="center"/>
      <protection/>
    </xf>
    <xf numFmtId="0" fontId="21" fillId="0" borderId="0" xfId="59" applyFont="1" applyAlignment="1">
      <alignment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4" fontId="11" fillId="13" borderId="15" xfId="59" applyNumberFormat="1" applyFont="1" applyFill="1" applyBorder="1" applyAlignment="1">
      <alignment horizontal="center" vertical="center"/>
      <protection/>
    </xf>
    <xf numFmtId="0" fontId="11" fillId="13" borderId="16" xfId="59" applyFont="1" applyFill="1" applyBorder="1" applyAlignment="1">
      <alignment horizontal="center"/>
      <protection/>
    </xf>
    <xf numFmtId="4" fontId="11" fillId="13" borderId="16" xfId="59" applyNumberFormat="1" applyFont="1" applyFill="1" applyBorder="1" applyAlignment="1">
      <alignment horizontal="center" vertical="center"/>
      <protection/>
    </xf>
    <xf numFmtId="10" fontId="21" fillId="35" borderId="10" xfId="76" applyNumberFormat="1" applyFont="1" applyFill="1" applyBorder="1" applyAlignment="1">
      <alignment horizontal="center"/>
    </xf>
    <xf numFmtId="10" fontId="11" fillId="34" borderId="10" xfId="74" applyNumberFormat="1" applyFont="1" applyFill="1" applyBorder="1" applyAlignment="1">
      <alignment horizontal="center" vertical="center"/>
    </xf>
    <xf numFmtId="0" fontId="11" fillId="34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2" fillId="0" borderId="0" xfId="59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1" fillId="0" borderId="0" xfId="59" applyFont="1" applyAlignment="1">
      <alignment horizontal="center"/>
      <protection/>
    </xf>
    <xf numFmtId="0" fontId="92" fillId="0" borderId="0" xfId="59" applyFont="1">
      <alignment/>
      <protection/>
    </xf>
    <xf numFmtId="0" fontId="93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0" fontId="11" fillId="13" borderId="12" xfId="59" applyFont="1" applyFill="1" applyBorder="1" applyAlignment="1">
      <alignment horizontal="center"/>
      <protection/>
    </xf>
    <xf numFmtId="4" fontId="94" fillId="0" borderId="0" xfId="59" applyNumberFormat="1" applyFont="1" applyBorder="1">
      <alignment/>
      <protection/>
    </xf>
    <xf numFmtId="0" fontId="93" fillId="0" borderId="0" xfId="59" applyFont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5" fillId="0" borderId="0" xfId="59" applyFont="1" applyFill="1" applyAlignment="1">
      <alignment/>
      <protection/>
    </xf>
    <xf numFmtId="4" fontId="96" fillId="0" borderId="0" xfId="59" applyNumberFormat="1" applyFont="1" applyFill="1" applyBorder="1" applyAlignment="1">
      <alignment horizontal="center" vertical="center"/>
      <protection/>
    </xf>
    <xf numFmtId="0" fontId="93" fillId="0" borderId="0" xfId="59" applyFont="1" applyFill="1" applyBorder="1">
      <alignment/>
      <protection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36" borderId="10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7" fillId="9" borderId="10" xfId="0" applyNumberFormat="1" applyFont="1" applyFill="1" applyBorder="1" applyAlignment="1">
      <alignment vertical="center"/>
    </xf>
    <xf numFmtId="3" fontId="4" fillId="9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4" fontId="22" fillId="0" borderId="0" xfId="59" applyNumberFormat="1" applyFont="1" applyFill="1">
      <alignment/>
      <protection/>
    </xf>
    <xf numFmtId="0" fontId="5" fillId="0" borderId="10" xfId="0" applyFont="1" applyFill="1" applyBorder="1" applyAlignment="1">
      <alignment horizontal="left" vertical="center"/>
    </xf>
    <xf numFmtId="3" fontId="2" fillId="36" borderId="0" xfId="58" applyNumberFormat="1" applyFont="1" applyFill="1" applyAlignment="1">
      <alignment horizontal="right" vertical="top" wrapText="1"/>
      <protection/>
    </xf>
    <xf numFmtId="0" fontId="15" fillId="3" borderId="0" xfId="58" applyFont="1" applyFill="1">
      <alignment/>
      <protection/>
    </xf>
    <xf numFmtId="0" fontId="20" fillId="3" borderId="0" xfId="58" applyFont="1" applyFill="1">
      <alignment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20" fillId="0" borderId="0" xfId="58" applyFont="1">
      <alignment/>
      <protection/>
    </xf>
    <xf numFmtId="3" fontId="4" fillId="36" borderId="0" xfId="58" applyNumberFormat="1" applyFont="1" applyFill="1" applyAlignment="1">
      <alignment horizontal="right" vertical="top" wrapText="1"/>
      <protection/>
    </xf>
    <xf numFmtId="0" fontId="15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right" vertical="center"/>
    </xf>
    <xf numFmtId="0" fontId="9" fillId="7" borderId="10" xfId="0" applyFont="1" applyFill="1" applyBorder="1" applyAlignment="1">
      <alignment horizontal="right" vertical="center"/>
    </xf>
    <xf numFmtId="3" fontId="9" fillId="7" borderId="10" xfId="0" applyNumberFormat="1" applyFont="1" applyFill="1" applyBorder="1" applyAlignment="1">
      <alignment horizontal="right" vertical="center"/>
    </xf>
    <xf numFmtId="3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3" fontId="14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7" borderId="10" xfId="0" applyFont="1" applyFill="1" applyBorder="1" applyAlignment="1">
      <alignment horizontal="left" vertical="center" wrapText="1" indent="2"/>
    </xf>
    <xf numFmtId="0" fontId="8" fillId="37" borderId="10" xfId="0" applyFont="1" applyFill="1" applyBorder="1" applyAlignment="1">
      <alignment horizontal="right" vertical="center"/>
    </xf>
    <xf numFmtId="3" fontId="8" fillId="37" borderId="10" xfId="0" applyNumberFormat="1" applyFont="1" applyFill="1" applyBorder="1" applyAlignment="1">
      <alignment vertical="center"/>
    </xf>
    <xf numFmtId="3" fontId="9" fillId="37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84" fillId="0" borderId="0" xfId="0" applyFont="1" applyAlignment="1">
      <alignment/>
    </xf>
    <xf numFmtId="3" fontId="4" fillId="9" borderId="10" xfId="0" applyNumberFormat="1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vertical="center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left" wrapText="1" indent="2"/>
    </xf>
    <xf numFmtId="3" fontId="4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5" fillId="13" borderId="10" xfId="0" applyNumberFormat="1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 wrapText="1"/>
    </xf>
    <xf numFmtId="3" fontId="5" fillId="13" borderId="10" xfId="0" applyNumberFormat="1" applyFont="1" applyFill="1" applyBorder="1" applyAlignment="1">
      <alignment horizontal="right" vertical="center"/>
    </xf>
    <xf numFmtId="3" fontId="5" fillId="13" borderId="10" xfId="0" applyNumberFormat="1" applyFont="1" applyFill="1" applyBorder="1" applyAlignment="1">
      <alignment vertical="center"/>
    </xf>
    <xf numFmtId="172" fontId="8" fillId="13" borderId="15" xfId="0" applyNumberFormat="1" applyFont="1" applyFill="1" applyBorder="1" applyAlignment="1">
      <alignment horizontal="right" vertical="center"/>
    </xf>
    <xf numFmtId="0" fontId="8" fillId="13" borderId="0" xfId="0" applyFont="1" applyFill="1" applyAlignment="1">
      <alignment horizontal="left" vertical="center" wrapText="1" indent="2"/>
    </xf>
    <xf numFmtId="3" fontId="9" fillId="13" borderId="10" xfId="0" applyNumberFormat="1" applyFont="1" applyFill="1" applyBorder="1" applyAlignment="1">
      <alignment horizontal="right" vertical="center"/>
    </xf>
    <xf numFmtId="3" fontId="9" fillId="13" borderId="10" xfId="0" applyNumberFormat="1" applyFont="1" applyFill="1" applyBorder="1" applyAlignment="1">
      <alignment vertical="center"/>
    </xf>
    <xf numFmtId="0" fontId="83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17" fillId="9" borderId="10" xfId="0" applyNumberFormat="1" applyFont="1" applyFill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11" borderId="10" xfId="58" applyFont="1" applyFill="1" applyBorder="1" applyAlignment="1">
      <alignment wrapText="1"/>
      <protection/>
    </xf>
    <xf numFmtId="0" fontId="4" fillId="11" borderId="10" xfId="58" applyFont="1" applyFill="1" applyBorder="1" applyAlignment="1">
      <alignment vertical="center" wrapText="1"/>
      <protection/>
    </xf>
    <xf numFmtId="3" fontId="4" fillId="11" borderId="10" xfId="70" applyNumberFormat="1" applyFont="1" applyFill="1" applyBorder="1" applyAlignment="1">
      <alignment horizontal="center" vertical="center"/>
      <protection/>
    </xf>
    <xf numFmtId="3" fontId="4" fillId="11" borderId="10" xfId="70" applyNumberFormat="1" applyFont="1" applyFill="1" applyBorder="1" applyAlignment="1">
      <alignment horizontal="center" vertical="center" wrapText="1"/>
      <protection/>
    </xf>
    <xf numFmtId="3" fontId="4" fillId="11" borderId="10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right" vertical="center" wrapText="1"/>
      <protection/>
    </xf>
    <xf numFmtId="0" fontId="24" fillId="0" borderId="10" xfId="58" applyFont="1" applyFill="1" applyBorder="1" applyAlignment="1">
      <alignment horizontal="left" vertical="center" wrapText="1" indent="2"/>
      <protection/>
    </xf>
    <xf numFmtId="3" fontId="2" fillId="0" borderId="10" xfId="70" applyNumberFormat="1" applyFont="1" applyBorder="1" applyAlignment="1">
      <alignment horizontal="center" vertical="center"/>
      <protection/>
    </xf>
    <xf numFmtId="3" fontId="4" fillId="0" borderId="10" xfId="70" applyNumberFormat="1" applyFont="1" applyBorder="1" applyAlignment="1">
      <alignment horizontal="center" vertical="center" wrapText="1"/>
      <protection/>
    </xf>
    <xf numFmtId="3" fontId="2" fillId="0" borderId="10" xfId="70" applyNumberFormat="1" applyFont="1" applyFill="1" applyBorder="1" applyAlignment="1">
      <alignment horizontal="center" vertical="center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6" fillId="9" borderId="10" xfId="70" applyFont="1" applyFill="1" applyBorder="1" applyAlignment="1">
      <alignment vertical="center"/>
      <protection/>
    </xf>
    <xf numFmtId="0" fontId="7" fillId="9" borderId="10" xfId="70" applyFont="1" applyFill="1" applyBorder="1" applyAlignment="1">
      <alignment horizontal="left" wrapText="1"/>
      <protection/>
    </xf>
    <xf numFmtId="3" fontId="7" fillId="9" borderId="10" xfId="70" applyNumberFormat="1" applyFont="1" applyFill="1" applyBorder="1" applyAlignment="1">
      <alignment vertical="center"/>
      <protection/>
    </xf>
    <xf numFmtId="3" fontId="7" fillId="9" borderId="10" xfId="70" applyNumberFormat="1" applyFont="1" applyFill="1" applyBorder="1" applyAlignment="1">
      <alignment horizontal="center" vertical="center"/>
      <protection/>
    </xf>
    <xf numFmtId="3" fontId="4" fillId="9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1" fillId="0" borderId="0" xfId="0" applyFont="1" applyAlignment="1">
      <alignment/>
    </xf>
    <xf numFmtId="0" fontId="4" fillId="13" borderId="10" xfId="58" applyFont="1" applyFill="1" applyBorder="1" applyAlignment="1">
      <alignment vertical="center" wrapText="1"/>
      <protection/>
    </xf>
    <xf numFmtId="3" fontId="4" fillId="13" borderId="10" xfId="70" applyNumberFormat="1" applyFont="1" applyFill="1" applyBorder="1" applyAlignment="1">
      <alignment horizontal="center" vertical="center"/>
      <protection/>
    </xf>
    <xf numFmtId="3" fontId="4" fillId="13" borderId="10" xfId="70" applyNumberFormat="1" applyFont="1" applyFill="1" applyBorder="1" applyAlignment="1">
      <alignment horizontal="center" vertical="center" wrapText="1"/>
      <protection/>
    </xf>
    <xf numFmtId="3" fontId="4" fillId="13" borderId="10" xfId="0" applyNumberFormat="1" applyFont="1" applyFill="1" applyBorder="1" applyAlignment="1">
      <alignment horizontal="center" vertical="center"/>
    </xf>
    <xf numFmtId="0" fontId="24" fillId="0" borderId="10" xfId="58" applyFont="1" applyBorder="1" applyAlignment="1">
      <alignment horizontal="right" vertical="center" wrapText="1"/>
      <protection/>
    </xf>
    <xf numFmtId="0" fontId="24" fillId="0" borderId="10" xfId="58" applyFont="1" applyBorder="1" applyAlignment="1">
      <alignment horizontal="left" vertical="center" wrapText="1" indent="2"/>
      <protection/>
    </xf>
    <xf numFmtId="0" fontId="24" fillId="13" borderId="10" xfId="58" applyFont="1" applyFill="1" applyBorder="1" applyAlignment="1">
      <alignment horizontal="right" vertical="center" wrapText="1"/>
      <protection/>
    </xf>
    <xf numFmtId="0" fontId="24" fillId="13" borderId="10" xfId="58" applyFont="1" applyFill="1" applyBorder="1" applyAlignment="1">
      <alignment horizontal="left" vertical="center" wrapText="1" indent="2"/>
      <protection/>
    </xf>
    <xf numFmtId="3" fontId="2" fillId="13" borderId="10" xfId="70" applyNumberFormat="1" applyFont="1" applyFill="1" applyBorder="1" applyAlignment="1">
      <alignment horizontal="center" vertical="center"/>
      <protection/>
    </xf>
    <xf numFmtId="3" fontId="2" fillId="1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7" fillId="0" borderId="0" xfId="59" applyFont="1">
      <alignment/>
      <protection/>
    </xf>
    <xf numFmtId="0" fontId="97" fillId="0" borderId="0" xfId="59" applyFont="1" applyAlignment="1">
      <alignment vertical="center"/>
      <protection/>
    </xf>
    <xf numFmtId="0" fontId="97" fillId="0" borderId="0" xfId="59" applyFont="1" applyAlignment="1">
      <alignment horizontal="left" vertical="center" indent="1"/>
      <protection/>
    </xf>
    <xf numFmtId="0" fontId="95" fillId="0" borderId="0" xfId="59" applyFont="1" applyFill="1">
      <alignment/>
      <protection/>
    </xf>
    <xf numFmtId="0" fontId="95" fillId="0" borderId="0" xfId="59" applyFont="1">
      <alignment/>
      <protection/>
    </xf>
    <xf numFmtId="3" fontId="95" fillId="0" borderId="0" xfId="59" applyNumberFormat="1" applyFont="1">
      <alignment/>
      <protection/>
    </xf>
    <xf numFmtId="0" fontId="95" fillId="0" borderId="0" xfId="59" applyFont="1" applyAlignment="1">
      <alignment horizontal="left" indent="1"/>
      <protection/>
    </xf>
    <xf numFmtId="0" fontId="95" fillId="0" borderId="0" xfId="71" applyFont="1" applyBorder="1" applyProtection="1">
      <alignment/>
      <protection locked="0"/>
    </xf>
    <xf numFmtId="0" fontId="95" fillId="0" borderId="0" xfId="59" applyFont="1" applyAlignment="1">
      <alignment horizontal="right"/>
      <protection/>
    </xf>
    <xf numFmtId="0" fontId="97" fillId="0" borderId="0" xfId="59" applyFont="1" applyFill="1" applyBorder="1">
      <alignment/>
      <protection/>
    </xf>
    <xf numFmtId="10" fontId="97" fillId="0" borderId="0" xfId="59" applyNumberFormat="1" applyFont="1">
      <alignment/>
      <protection/>
    </xf>
    <xf numFmtId="0" fontId="25" fillId="0" borderId="0" xfId="59" applyFont="1" applyFill="1" applyBorder="1">
      <alignment/>
      <protection/>
    </xf>
    <xf numFmtId="10" fontId="25" fillId="0" borderId="0" xfId="59" applyNumberFormat="1" applyFont="1">
      <alignment/>
      <protection/>
    </xf>
    <xf numFmtId="0" fontId="6" fillId="0" borderId="0" xfId="59" applyFont="1" applyAlignment="1">
      <alignment horizontal="right"/>
      <protection/>
    </xf>
    <xf numFmtId="0" fontId="25" fillId="0" borderId="0" xfId="59" applyFont="1">
      <alignment/>
      <protection/>
    </xf>
    <xf numFmtId="0" fontId="6" fillId="0" borderId="0" xfId="59" applyFont="1" applyBorder="1">
      <alignment/>
      <protection/>
    </xf>
    <xf numFmtId="10" fontId="25" fillId="0" borderId="0" xfId="59" applyNumberFormat="1" applyFont="1" applyFill="1" applyBorder="1">
      <alignment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horizontal="left" vertical="center" indent="1"/>
      <protection/>
    </xf>
    <xf numFmtId="0" fontId="6" fillId="0" borderId="0" xfId="59" applyFont="1" applyFill="1">
      <alignment/>
      <protection/>
    </xf>
    <xf numFmtId="0" fontId="6" fillId="0" borderId="0" xfId="59" applyFont="1">
      <alignment/>
      <protection/>
    </xf>
    <xf numFmtId="4" fontId="26" fillId="0" borderId="0" xfId="59" applyNumberFormat="1" applyFont="1">
      <alignment/>
      <protection/>
    </xf>
    <xf numFmtId="0" fontId="21" fillId="0" borderId="0" xfId="59" applyFont="1" applyBorder="1" applyAlignment="1">
      <alignment wrapText="1"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horizontal="left" vertical="center" indent="1"/>
      <protection/>
    </xf>
    <xf numFmtId="0" fontId="21" fillId="0" borderId="0" xfId="59" applyFont="1" applyFill="1">
      <alignment/>
      <protection/>
    </xf>
    <xf numFmtId="0" fontId="21" fillId="0" borderId="0" xfId="59" applyFont="1">
      <alignment/>
      <protection/>
    </xf>
    <xf numFmtId="0" fontId="11" fillId="35" borderId="10" xfId="59" applyFont="1" applyFill="1" applyBorder="1" applyAlignment="1">
      <alignment horizontal="center"/>
      <protection/>
    </xf>
    <xf numFmtId="0" fontId="21" fillId="34" borderId="10" xfId="59" applyFont="1" applyFill="1" applyBorder="1" applyAlignment="1">
      <alignment/>
      <protection/>
    </xf>
    <xf numFmtId="0" fontId="21" fillId="35" borderId="15" xfId="59" applyFont="1" applyFill="1" applyBorder="1" applyAlignment="1">
      <alignment horizontal="center"/>
      <protection/>
    </xf>
    <xf numFmtId="0" fontId="27" fillId="0" borderId="0" xfId="59" applyFont="1" applyAlignment="1">
      <alignment vertical="center"/>
      <protection/>
    </xf>
    <xf numFmtId="0" fontId="11" fillId="0" borderId="0" xfId="59" applyFont="1" applyAlignment="1">
      <alignment horizontal="left" vertical="center" indent="1"/>
      <protection/>
    </xf>
    <xf numFmtId="0" fontId="93" fillId="0" borderId="0" xfId="59" applyFont="1" applyFill="1">
      <alignment/>
      <protection/>
    </xf>
    <xf numFmtId="0" fontId="97" fillId="0" borderId="0" xfId="59" applyFont="1" applyFill="1">
      <alignment/>
      <protection/>
    </xf>
    <xf numFmtId="4" fontId="97" fillId="0" borderId="0" xfId="59" applyNumberFormat="1" applyFont="1" applyFill="1">
      <alignment/>
      <protection/>
    </xf>
    <xf numFmtId="0" fontId="97" fillId="0" borderId="0" xfId="59" applyFont="1" applyFill="1" applyAlignment="1">
      <alignment vertical="center"/>
      <protection/>
    </xf>
    <xf numFmtId="0" fontId="97" fillId="0" borderId="0" xfId="59" applyFont="1" applyFill="1" applyAlignment="1">
      <alignment horizontal="left" vertical="center" indent="1"/>
      <protection/>
    </xf>
    <xf numFmtId="4" fontId="95" fillId="0" borderId="0" xfId="59" applyNumberFormat="1" applyFont="1" applyFill="1" applyBorder="1" applyAlignment="1">
      <alignment horizontal="center" vertical="center"/>
      <protection/>
    </xf>
    <xf numFmtId="0" fontId="96" fillId="0" borderId="0" xfId="59" applyFont="1" applyFill="1" applyBorder="1" applyAlignment="1">
      <alignment horizontal="left"/>
      <protection/>
    </xf>
    <xf numFmtId="0" fontId="96" fillId="0" borderId="0" xfId="59" applyFont="1" applyFill="1" applyBorder="1" applyAlignment="1">
      <alignment horizontal="left" indent="1"/>
      <protection/>
    </xf>
    <xf numFmtId="174" fontId="96" fillId="0" borderId="0" xfId="59" applyNumberFormat="1" applyFont="1" applyFill="1" applyBorder="1" applyAlignment="1">
      <alignment horizontal="left"/>
      <protection/>
    </xf>
    <xf numFmtId="0" fontId="96" fillId="0" borderId="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right" vertical="center"/>
      <protection/>
    </xf>
    <xf numFmtId="0" fontId="11" fillId="0" borderId="0" xfId="59" applyFont="1" applyFill="1" applyBorder="1" applyAlignment="1">
      <alignment horizontal="left" vertical="center"/>
      <protection/>
    </xf>
    <xf numFmtId="0" fontId="11" fillId="0" borderId="0" xfId="59" applyFont="1" applyFill="1" applyBorder="1" applyAlignment="1">
      <alignment horizontal="left" vertical="center" indent="1"/>
      <protection/>
    </xf>
    <xf numFmtId="0" fontId="21" fillId="0" borderId="0" xfId="59" applyFont="1" applyFill="1" applyAlignment="1">
      <alignment/>
      <protection/>
    </xf>
    <xf numFmtId="3" fontId="11" fillId="0" borderId="0" xfId="59" applyNumberFormat="1" applyFont="1" applyFill="1" applyBorder="1" applyAlignment="1">
      <alignment horizontal="center"/>
      <protection/>
    </xf>
    <xf numFmtId="4" fontId="11" fillId="35" borderId="17" xfId="59" applyNumberFormat="1" applyFont="1" applyFill="1" applyBorder="1" applyAlignment="1">
      <alignment horizontal="center" vertical="center"/>
      <protection/>
    </xf>
    <xf numFmtId="0" fontId="11" fillId="35" borderId="17" xfId="59" applyFont="1" applyFill="1" applyBorder="1" applyAlignment="1">
      <alignment horizontal="center"/>
      <protection/>
    </xf>
    <xf numFmtId="0" fontId="21" fillId="35" borderId="17" xfId="59" applyFont="1" applyFill="1" applyBorder="1" applyAlignment="1">
      <alignment horizontal="center"/>
      <protection/>
    </xf>
    <xf numFmtId="174" fontId="11" fillId="35" borderId="10" xfId="59" applyNumberFormat="1" applyFont="1" applyFill="1" applyBorder="1" applyAlignment="1">
      <alignment horizontal="center"/>
      <protection/>
    </xf>
    <xf numFmtId="4" fontId="21" fillId="7" borderId="18" xfId="59" applyNumberFormat="1" applyFont="1" applyFill="1" applyBorder="1">
      <alignment/>
      <protection/>
    </xf>
    <xf numFmtId="4" fontId="13" fillId="0" borderId="19" xfId="59" applyNumberFormat="1" applyFont="1" applyFill="1" applyBorder="1">
      <alignment/>
      <protection/>
    </xf>
    <xf numFmtId="173" fontId="13" fillId="0" borderId="19" xfId="59" applyNumberFormat="1" applyFont="1" applyFill="1" applyBorder="1" applyAlignment="1">
      <alignment horizontal="center"/>
      <protection/>
    </xf>
    <xf numFmtId="0" fontId="21" fillId="0" borderId="19" xfId="59" applyFont="1" applyFill="1" applyBorder="1" applyAlignment="1">
      <alignment horizontal="center" wrapText="1"/>
      <protection/>
    </xf>
    <xf numFmtId="4" fontId="21" fillId="7" borderId="20" xfId="59" applyNumberFormat="1" applyFont="1" applyFill="1" applyBorder="1">
      <alignment/>
      <protection/>
    </xf>
    <xf numFmtId="4" fontId="13" fillId="0" borderId="21" xfId="59" applyNumberFormat="1" applyFont="1" applyFill="1" applyBorder="1">
      <alignment/>
      <protection/>
    </xf>
    <xf numFmtId="10" fontId="13" fillId="0" borderId="21" xfId="59" applyNumberFormat="1" applyFont="1" applyFill="1" applyBorder="1" applyAlignment="1">
      <alignment horizontal="center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21" fillId="0" borderId="21" xfId="59" applyFont="1" applyFill="1" applyBorder="1" applyAlignment="1">
      <alignment horizontal="center" wrapText="1"/>
      <protection/>
    </xf>
    <xf numFmtId="4" fontId="21" fillId="0" borderId="19" xfId="59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4" fontId="21" fillId="0" borderId="21" xfId="59" applyNumberFormat="1" applyFont="1" applyFill="1" applyBorder="1">
      <alignment/>
      <protection/>
    </xf>
    <xf numFmtId="4" fontId="21" fillId="38" borderId="21" xfId="59" applyNumberFormat="1" applyFont="1" applyFill="1" applyBorder="1">
      <alignment/>
      <protection/>
    </xf>
    <xf numFmtId="10" fontId="21" fillId="0" borderId="21" xfId="59" applyNumberFormat="1" applyFont="1" applyFill="1" applyBorder="1" applyAlignment="1">
      <alignment horizontal="center"/>
      <protection/>
    </xf>
    <xf numFmtId="0" fontId="21" fillId="0" borderId="21" xfId="59" applyFont="1" applyFill="1" applyBorder="1" applyAlignment="1">
      <alignment horizontal="center" vertical="center" wrapText="1"/>
      <protection/>
    </xf>
    <xf numFmtId="3" fontId="21" fillId="0" borderId="22" xfId="59" applyNumberFormat="1" applyFont="1" applyFill="1" applyBorder="1">
      <alignment/>
      <protection/>
    </xf>
    <xf numFmtId="3" fontId="21" fillId="0" borderId="19" xfId="59" applyNumberFormat="1" applyFont="1" applyFill="1" applyBorder="1">
      <alignment/>
      <protection/>
    </xf>
    <xf numFmtId="3" fontId="21" fillId="0" borderId="23" xfId="59" applyNumberFormat="1" applyFont="1" applyFill="1" applyBorder="1">
      <alignment/>
      <protection/>
    </xf>
    <xf numFmtId="3" fontId="21" fillId="0" borderId="21" xfId="59" applyNumberFormat="1" applyFont="1" applyFill="1" applyBorder="1">
      <alignment/>
      <protection/>
    </xf>
    <xf numFmtId="174" fontId="26" fillId="0" borderId="0" xfId="59" applyNumberFormat="1" applyFont="1">
      <alignment/>
      <protection/>
    </xf>
    <xf numFmtId="0" fontId="26" fillId="0" borderId="0" xfId="59" applyFont="1" applyAlignment="1">
      <alignment/>
      <protection/>
    </xf>
    <xf numFmtId="0" fontId="26" fillId="0" borderId="0" xfId="59" applyFont="1" applyAlignment="1">
      <alignment horizontal="left" indent="1"/>
      <protection/>
    </xf>
    <xf numFmtId="0" fontId="11" fillId="0" borderId="0" xfId="59" applyFont="1" applyAlignment="1">
      <alignment/>
      <protection/>
    </xf>
    <xf numFmtId="174" fontId="97" fillId="0" borderId="0" xfId="59" applyNumberFormat="1" applyFont="1">
      <alignment/>
      <protection/>
    </xf>
    <xf numFmtId="0" fontId="97" fillId="0" borderId="0" xfId="59" applyFont="1" applyAlignment="1">
      <alignment/>
      <protection/>
    </xf>
    <xf numFmtId="0" fontId="97" fillId="0" borderId="0" xfId="59" applyFont="1" applyAlignment="1">
      <alignment horizontal="left" indent="1"/>
      <protection/>
    </xf>
    <xf numFmtId="0" fontId="96" fillId="0" borderId="0" xfId="59" applyFont="1" applyAlignment="1">
      <alignment/>
      <protection/>
    </xf>
    <xf numFmtId="0" fontId="95" fillId="0" borderId="0" xfId="59" applyFont="1" applyAlignment="1">
      <alignment/>
      <protection/>
    </xf>
    <xf numFmtId="4" fontId="11" fillId="0" borderId="10" xfId="59" applyNumberFormat="1" applyFont="1" applyBorder="1" applyAlignment="1">
      <alignment horizontal="center"/>
      <protection/>
    </xf>
    <xf numFmtId="4" fontId="11" fillId="0" borderId="10" xfId="59" applyNumberFormat="1" applyFont="1" applyBorder="1">
      <alignment/>
      <protection/>
    </xf>
    <xf numFmtId="171" fontId="95" fillId="0" borderId="0" xfId="59" applyNumberFormat="1" applyFont="1">
      <alignment/>
      <protection/>
    </xf>
    <xf numFmtId="4" fontId="97" fillId="0" borderId="0" xfId="59" applyNumberFormat="1" applyFont="1">
      <alignment/>
      <protection/>
    </xf>
    <xf numFmtId="0" fontId="98" fillId="0" borderId="0" xfId="59" applyFont="1" applyAlignment="1">
      <alignment vertical="top"/>
      <protection/>
    </xf>
    <xf numFmtId="0" fontId="98" fillId="0" borderId="0" xfId="59" applyFont="1" applyAlignment="1">
      <alignment vertical="center"/>
      <protection/>
    </xf>
    <xf numFmtId="0" fontId="95" fillId="0" borderId="0" xfId="59" applyFont="1" applyAlignment="1">
      <alignment vertical="center"/>
      <protection/>
    </xf>
    <xf numFmtId="4" fontId="95" fillId="0" borderId="0" xfId="59" applyNumberFormat="1" applyFont="1" applyBorder="1">
      <alignment/>
      <protection/>
    </xf>
    <xf numFmtId="0" fontId="98" fillId="0" borderId="0" xfId="59" applyFont="1" applyAlignment="1">
      <alignment horizontal="center"/>
      <protection/>
    </xf>
    <xf numFmtId="0" fontId="98" fillId="0" borderId="0" xfId="59" applyFont="1" applyAlignment="1">
      <alignment horizontal="left" indent="1"/>
      <protection/>
    </xf>
    <xf numFmtId="4" fontId="97" fillId="0" borderId="0" xfId="59" applyNumberFormat="1" applyFont="1" applyFill="1" applyBorder="1">
      <alignment/>
      <protection/>
    </xf>
    <xf numFmtId="3" fontId="91" fillId="0" borderId="0" xfId="68" applyNumberFormat="1" applyFont="1" applyFill="1" applyBorder="1">
      <alignment/>
      <protection/>
    </xf>
    <xf numFmtId="4" fontId="9" fillId="0" borderId="0" xfId="59" applyNumberFormat="1" applyFont="1" applyFill="1" applyBorder="1" applyAlignment="1">
      <alignment vertical="center"/>
      <protection/>
    </xf>
    <xf numFmtId="0" fontId="94" fillId="0" borderId="0" xfId="59" applyFont="1" applyAlignment="1">
      <alignment horizontal="center"/>
      <protection/>
    </xf>
    <xf numFmtId="4" fontId="98" fillId="0" borderId="0" xfId="59" applyNumberFormat="1" applyFont="1" applyAlignment="1">
      <alignment horizontal="left" indent="1"/>
      <protection/>
    </xf>
    <xf numFmtId="4" fontId="98" fillId="0" borderId="0" xfId="59" applyNumberFormat="1" applyFont="1" applyAlignment="1">
      <alignment horizontal="center"/>
      <protection/>
    </xf>
    <xf numFmtId="4" fontId="95" fillId="0" borderId="0" xfId="59" applyNumberFormat="1" applyFont="1" applyBorder="1" applyAlignment="1">
      <alignment vertical="center"/>
      <protection/>
    </xf>
    <xf numFmtId="3" fontId="98" fillId="0" borderId="0" xfId="59" applyNumberFormat="1" applyFont="1" applyAlignment="1">
      <alignment horizontal="center" vertical="center"/>
      <protection/>
    </xf>
    <xf numFmtId="3" fontId="98" fillId="0" borderId="0" xfId="59" applyNumberFormat="1" applyFont="1" applyAlignment="1">
      <alignment horizontal="left" vertical="center"/>
      <protection/>
    </xf>
    <xf numFmtId="0" fontId="98" fillId="0" borderId="0" xfId="59" applyFont="1" applyAlignment="1">
      <alignment horizontal="center" vertical="center"/>
      <protection/>
    </xf>
    <xf numFmtId="4" fontId="98" fillId="0" borderId="0" xfId="59" applyNumberFormat="1" applyFont="1" applyAlignment="1">
      <alignment horizontal="left" vertical="center"/>
      <protection/>
    </xf>
    <xf numFmtId="4" fontId="92" fillId="0" borderId="0" xfId="59" applyNumberFormat="1" applyFont="1" applyFill="1" applyAlignment="1">
      <alignment vertical="center"/>
      <protection/>
    </xf>
    <xf numFmtId="10" fontId="21" fillId="34" borderId="10" xfId="76" applyNumberFormat="1" applyFont="1" applyFill="1" applyBorder="1" applyAlignment="1">
      <alignment horizontal="center" vertical="center"/>
    </xf>
    <xf numFmtId="10" fontId="11" fillId="35" borderId="10" xfId="76" applyNumberFormat="1" applyFont="1" applyFill="1" applyBorder="1" applyAlignment="1">
      <alignment horizontal="center" vertical="center"/>
    </xf>
    <xf numFmtId="0" fontId="11" fillId="13" borderId="10" xfId="59" applyFont="1" applyFill="1" applyBorder="1" applyAlignment="1">
      <alignment horizontal="center" vertical="center"/>
      <protection/>
    </xf>
    <xf numFmtId="0" fontId="21" fillId="34" borderId="10" xfId="59" applyFont="1" applyFill="1" applyBorder="1" applyAlignment="1">
      <alignment vertical="center"/>
      <protection/>
    </xf>
    <xf numFmtId="10" fontId="11" fillId="34" borderId="10" xfId="76" applyNumberFormat="1" applyFont="1" applyFill="1" applyBorder="1" applyAlignment="1">
      <alignment horizontal="center" vertical="center"/>
    </xf>
    <xf numFmtId="0" fontId="11" fillId="34" borderId="10" xfId="59" applyFont="1" applyFill="1" applyBorder="1" applyAlignment="1">
      <alignment vertical="center"/>
      <protection/>
    </xf>
    <xf numFmtId="0" fontId="96" fillId="13" borderId="10" xfId="59" applyFont="1" applyFill="1" applyBorder="1" applyAlignment="1">
      <alignment horizontal="left" vertical="center"/>
      <protection/>
    </xf>
    <xf numFmtId="0" fontId="11" fillId="35" borderId="10" xfId="59" applyFont="1" applyFill="1" applyBorder="1" applyAlignment="1">
      <alignment horizontal="right" vertical="center"/>
      <protection/>
    </xf>
    <xf numFmtId="0" fontId="95" fillId="35" borderId="10" xfId="59" applyFont="1" applyFill="1" applyBorder="1" applyAlignment="1">
      <alignment horizontal="left" vertical="center"/>
      <protection/>
    </xf>
    <xf numFmtId="174" fontId="11" fillId="35" borderId="10" xfId="59" applyNumberFormat="1" applyFont="1" applyFill="1" applyBorder="1" applyAlignment="1">
      <alignment horizontal="center" vertical="center"/>
      <protection/>
    </xf>
    <xf numFmtId="4" fontId="99" fillId="0" borderId="0" xfId="59" applyNumberFormat="1" applyFont="1" applyFill="1">
      <alignment/>
      <protection/>
    </xf>
    <xf numFmtId="3" fontId="98" fillId="0" borderId="19" xfId="68" applyNumberFormat="1" applyFont="1" applyFill="1" applyBorder="1">
      <alignment/>
      <protection/>
    </xf>
    <xf numFmtId="4" fontId="98" fillId="0" borderId="19" xfId="68" applyNumberFormat="1" applyFont="1" applyFill="1" applyBorder="1">
      <alignment/>
      <protection/>
    </xf>
    <xf numFmtId="173" fontId="98" fillId="0" borderId="19" xfId="59" applyNumberFormat="1" applyFont="1" applyFill="1" applyBorder="1" applyAlignment="1">
      <alignment horizontal="center" vertical="center"/>
      <protection/>
    </xf>
    <xf numFmtId="0" fontId="98" fillId="0" borderId="19" xfId="65" applyFont="1" applyFill="1" applyBorder="1" applyAlignment="1">
      <alignment horizontal="center" vertical="center"/>
      <protection/>
    </xf>
    <xf numFmtId="4" fontId="21" fillId="7" borderId="24" xfId="59" applyNumberFormat="1" applyFont="1" applyFill="1" applyBorder="1">
      <alignment/>
      <protection/>
    </xf>
    <xf numFmtId="3" fontId="98" fillId="0" borderId="21" xfId="68" applyNumberFormat="1" applyFont="1" applyFill="1" applyBorder="1">
      <alignment/>
      <protection/>
    </xf>
    <xf numFmtId="4" fontId="98" fillId="0" borderId="21" xfId="68" applyNumberFormat="1" applyFont="1" applyFill="1" applyBorder="1">
      <alignment/>
      <protection/>
    </xf>
    <xf numFmtId="10" fontId="98" fillId="0" borderId="21" xfId="68" applyNumberFormat="1" applyFont="1" applyFill="1" applyBorder="1" applyAlignment="1">
      <alignment horizontal="center" vertical="center"/>
      <protection/>
    </xf>
    <xf numFmtId="0" fontId="98" fillId="0" borderId="21" xfId="59" applyFont="1" applyFill="1" applyBorder="1" applyAlignment="1">
      <alignment horizontal="center" vertical="center" wrapText="1"/>
      <protection/>
    </xf>
    <xf numFmtId="3" fontId="21" fillId="0" borderId="19" xfId="68" applyNumberFormat="1" applyFont="1" applyFill="1" applyBorder="1" applyAlignment="1">
      <alignment vertical="center"/>
      <protection/>
    </xf>
    <xf numFmtId="3" fontId="13" fillId="0" borderId="19" xfId="68" applyNumberFormat="1" applyFont="1" applyFill="1" applyBorder="1">
      <alignment/>
      <protection/>
    </xf>
    <xf numFmtId="4" fontId="13" fillId="37" borderId="19" xfId="68" applyNumberFormat="1" applyFont="1" applyFill="1" applyBorder="1">
      <alignment/>
      <protection/>
    </xf>
    <xf numFmtId="0" fontId="13" fillId="0" borderId="25" xfId="65" applyFont="1" applyFill="1" applyBorder="1" applyAlignment="1">
      <alignment horizontal="center" vertical="center" wrapText="1"/>
      <protection/>
    </xf>
    <xf numFmtId="0" fontId="13" fillId="0" borderId="19" xfId="65" applyFont="1" applyFill="1" applyBorder="1" applyAlignment="1">
      <alignment horizontal="center" vertical="center"/>
      <protection/>
    </xf>
    <xf numFmtId="3" fontId="21" fillId="0" borderId="21" xfId="68" applyNumberFormat="1" applyFont="1" applyFill="1" applyBorder="1" applyAlignment="1">
      <alignment vertical="center"/>
      <protection/>
    </xf>
    <xf numFmtId="3" fontId="13" fillId="0" borderId="21" xfId="68" applyNumberFormat="1" applyFont="1" applyFill="1" applyBorder="1">
      <alignment/>
      <protection/>
    </xf>
    <xf numFmtId="171" fontId="21" fillId="0" borderId="21" xfId="68" applyNumberFormat="1" applyFont="1" applyFill="1" applyBorder="1">
      <alignment/>
      <protection/>
    </xf>
    <xf numFmtId="10" fontId="21" fillId="0" borderId="21" xfId="68" applyNumberFormat="1" applyFont="1" applyFill="1" applyBorder="1" applyAlignment="1">
      <alignment horizontal="center" vertical="center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171" fontId="21" fillId="0" borderId="19" xfId="68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 vertical="center"/>
      <protection/>
    </xf>
    <xf numFmtId="0" fontId="21" fillId="0" borderId="19" xfId="65" applyFont="1" applyFill="1" applyBorder="1" applyAlignment="1">
      <alignment horizontal="center" vertical="center"/>
      <protection/>
    </xf>
    <xf numFmtId="171" fontId="21" fillId="0" borderId="22" xfId="68" applyNumberFormat="1" applyFont="1" applyFill="1" applyBorder="1">
      <alignment/>
      <protection/>
    </xf>
    <xf numFmtId="171" fontId="21" fillId="37" borderId="19" xfId="68" applyNumberFormat="1" applyFont="1" applyFill="1" applyBorder="1">
      <alignment/>
      <protection/>
    </xf>
    <xf numFmtId="4" fontId="92" fillId="0" borderId="0" xfId="59" applyNumberFormat="1" applyFont="1" applyFill="1">
      <alignment/>
      <protection/>
    </xf>
    <xf numFmtId="171" fontId="98" fillId="0" borderId="22" xfId="68" applyNumberFormat="1" applyFont="1" applyFill="1" applyBorder="1">
      <alignment/>
      <protection/>
    </xf>
    <xf numFmtId="171" fontId="98" fillId="0" borderId="19" xfId="68" applyNumberFormat="1" applyFont="1" applyFill="1" applyBorder="1">
      <alignment/>
      <protection/>
    </xf>
    <xf numFmtId="171" fontId="95" fillId="0" borderId="19" xfId="68" applyNumberFormat="1" applyFont="1" applyFill="1" applyBorder="1">
      <alignment/>
      <protection/>
    </xf>
    <xf numFmtId="171" fontId="98" fillId="0" borderId="23" xfId="68" applyNumberFormat="1" applyFont="1" applyFill="1" applyBorder="1">
      <alignment/>
      <protection/>
    </xf>
    <xf numFmtId="171" fontId="98" fillId="0" borderId="21" xfId="68" applyNumberFormat="1" applyFont="1" applyFill="1" applyBorder="1">
      <alignment/>
      <protection/>
    </xf>
    <xf numFmtId="171" fontId="95" fillId="0" borderId="21" xfId="68" applyNumberFormat="1" applyFont="1" applyFill="1" applyBorder="1">
      <alignment/>
      <protection/>
    </xf>
    <xf numFmtId="171" fontId="95" fillId="0" borderId="22" xfId="68" applyNumberFormat="1" applyFont="1" applyFill="1" applyBorder="1">
      <alignment/>
      <protection/>
    </xf>
    <xf numFmtId="171" fontId="21" fillId="0" borderId="23" xfId="68" applyNumberFormat="1" applyFont="1" applyFill="1" applyBorder="1">
      <alignment/>
      <protection/>
    </xf>
    <xf numFmtId="171" fontId="95" fillId="0" borderId="23" xfId="68" applyNumberFormat="1" applyFont="1" applyFill="1" applyBorder="1">
      <alignment/>
      <protection/>
    </xf>
    <xf numFmtId="171" fontId="95" fillId="0" borderId="22" xfId="68" applyNumberFormat="1" applyFont="1" applyFill="1" applyBorder="1" applyAlignment="1">
      <alignment vertical="center"/>
      <protection/>
    </xf>
    <xf numFmtId="171" fontId="21" fillId="0" borderId="22" xfId="68" applyNumberFormat="1" applyFont="1" applyFill="1" applyBorder="1" applyAlignment="1">
      <alignment vertical="center"/>
      <protection/>
    </xf>
    <xf numFmtId="171" fontId="21" fillId="0" borderId="19" xfId="68" applyNumberFormat="1" applyFont="1" applyFill="1" applyBorder="1" applyAlignment="1">
      <alignment vertical="center"/>
      <protection/>
    </xf>
    <xf numFmtId="171" fontId="21" fillId="0" borderId="23" xfId="68" applyNumberFormat="1" applyFont="1" applyFill="1" applyBorder="1" applyAlignment="1">
      <alignment vertical="center"/>
      <protection/>
    </xf>
    <xf numFmtId="171" fontId="21" fillId="0" borderId="21" xfId="68" applyNumberFormat="1" applyFont="1" applyFill="1" applyBorder="1" applyAlignment="1">
      <alignment vertical="center"/>
      <protection/>
    </xf>
    <xf numFmtId="171" fontId="95" fillId="0" borderId="19" xfId="68" applyNumberFormat="1" applyFont="1" applyFill="1" applyBorder="1" applyAlignment="1">
      <alignment vertical="center"/>
      <protection/>
    </xf>
    <xf numFmtId="171" fontId="95" fillId="0" borderId="23" xfId="68" applyNumberFormat="1" applyFont="1" applyFill="1" applyBorder="1" applyAlignment="1">
      <alignment vertical="center"/>
      <protection/>
    </xf>
    <xf numFmtId="171" fontId="95" fillId="0" borderId="21" xfId="68" applyNumberFormat="1" applyFont="1" applyFill="1" applyBorder="1" applyAlignment="1">
      <alignment vertical="center"/>
      <protection/>
    </xf>
    <xf numFmtId="171" fontId="21" fillId="37" borderId="19" xfId="68" applyNumberFormat="1" applyFont="1" applyFill="1" applyBorder="1" applyAlignment="1">
      <alignment vertical="center"/>
      <protection/>
    </xf>
    <xf numFmtId="171" fontId="21" fillId="0" borderId="27" xfId="68" applyNumberFormat="1" applyFont="1" applyFill="1" applyBorder="1" applyAlignment="1">
      <alignment vertical="center"/>
      <protection/>
    </xf>
    <xf numFmtId="171" fontId="21" fillId="0" borderId="28" xfId="68" applyNumberFormat="1" applyFont="1" applyFill="1" applyBorder="1" applyAlignment="1">
      <alignment vertical="center"/>
      <protection/>
    </xf>
    <xf numFmtId="171" fontId="21" fillId="37" borderId="27" xfId="68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21" fillId="0" borderId="19" xfId="65" applyFont="1" applyFill="1" applyBorder="1">
      <alignment/>
      <protection/>
    </xf>
    <xf numFmtId="0" fontId="21" fillId="0" borderId="19" xfId="65" applyFont="1" applyFill="1" applyBorder="1" applyAlignment="1">
      <alignment horizontal="center"/>
      <protection/>
    </xf>
    <xf numFmtId="173" fontId="21" fillId="0" borderId="21" xfId="68" applyNumberFormat="1" applyFont="1" applyFill="1" applyBorder="1" applyAlignment="1">
      <alignment horizontal="center" vertical="center"/>
      <protection/>
    </xf>
    <xf numFmtId="171" fontId="95" fillId="0" borderId="29" xfId="68" applyNumberFormat="1" applyFont="1" applyFill="1" applyBorder="1" applyAlignment="1">
      <alignment vertical="center"/>
      <protection/>
    </xf>
    <xf numFmtId="171" fontId="21" fillId="0" borderId="30" xfId="68" applyNumberFormat="1" applyFont="1" applyFill="1" applyBorder="1" applyAlignment="1">
      <alignment vertical="center"/>
      <protection/>
    </xf>
    <xf numFmtId="0" fontId="21" fillId="0" borderId="30" xfId="65" applyFont="1" applyFill="1" applyBorder="1" applyAlignment="1">
      <alignment horizontal="center" vertical="center"/>
      <protection/>
    </xf>
    <xf numFmtId="171" fontId="95" fillId="0" borderId="22" xfId="65" applyNumberFormat="1" applyFont="1" applyFill="1" applyBorder="1" applyAlignment="1">
      <alignment vertical="center"/>
      <protection/>
    </xf>
    <xf numFmtId="171" fontId="21" fillId="0" borderId="22" xfId="65" applyNumberFormat="1" applyFont="1" applyFill="1" applyBorder="1" applyAlignment="1">
      <alignment vertical="center"/>
      <protection/>
    </xf>
    <xf numFmtId="171" fontId="21" fillId="0" borderId="19" xfId="65" applyNumberFormat="1" applyFont="1" applyFill="1" applyBorder="1" applyAlignment="1">
      <alignment vertical="center"/>
      <protection/>
    </xf>
    <xf numFmtId="171" fontId="21" fillId="0" borderId="23" xfId="65" applyNumberFormat="1" applyFont="1" applyFill="1" applyBorder="1" applyAlignment="1">
      <alignment vertical="center"/>
      <protection/>
    </xf>
    <xf numFmtId="171" fontId="21" fillId="0" borderId="21" xfId="65" applyNumberFormat="1" applyFont="1" applyFill="1" applyBorder="1" applyAlignment="1">
      <alignment vertical="center"/>
      <protection/>
    </xf>
    <xf numFmtId="171" fontId="95" fillId="0" borderId="19" xfId="65" applyNumberFormat="1" applyFont="1" applyFill="1" applyBorder="1" applyAlignment="1">
      <alignment vertical="center"/>
      <protection/>
    </xf>
    <xf numFmtId="0" fontId="21" fillId="0" borderId="31" xfId="59" applyFont="1" applyFill="1" applyBorder="1" applyAlignment="1">
      <alignment horizontal="center" vertical="center" wrapText="1"/>
      <protection/>
    </xf>
    <xf numFmtId="171" fontId="21" fillId="0" borderId="32" xfId="68" applyNumberFormat="1" applyFont="1" applyFill="1" applyBorder="1" applyAlignment="1">
      <alignment vertical="center"/>
      <protection/>
    </xf>
    <xf numFmtId="171" fontId="21" fillId="0" borderId="31" xfId="68" applyNumberFormat="1" applyFont="1" applyFill="1" applyBorder="1" applyAlignment="1">
      <alignment vertical="center"/>
      <protection/>
    </xf>
    <xf numFmtId="171" fontId="95" fillId="0" borderId="30" xfId="68" applyNumberFormat="1" applyFont="1" applyFill="1" applyBorder="1" applyAlignment="1">
      <alignment vertical="center"/>
      <protection/>
    </xf>
    <xf numFmtId="171" fontId="95" fillId="0" borderId="22" xfId="59" applyNumberFormat="1" applyFont="1" applyFill="1" applyBorder="1" applyAlignment="1">
      <alignment vertical="center"/>
      <protection/>
    </xf>
    <xf numFmtId="171" fontId="95" fillId="0" borderId="19" xfId="59" applyNumberFormat="1" applyFont="1" applyFill="1" applyBorder="1" applyAlignment="1">
      <alignment vertical="center"/>
      <protection/>
    </xf>
    <xf numFmtId="171" fontId="21" fillId="0" borderId="19" xfId="59" applyNumberFormat="1" applyFont="1" applyFill="1" applyBorder="1" applyAlignment="1">
      <alignment vertical="center"/>
      <protection/>
    </xf>
    <xf numFmtId="171" fontId="21" fillId="37" borderId="19" xfId="59" applyNumberFormat="1" applyFont="1" applyFill="1" applyBorder="1" applyAlignment="1">
      <alignment vertical="center"/>
      <protection/>
    </xf>
    <xf numFmtId="171" fontId="21" fillId="0" borderId="23" xfId="59" applyNumberFormat="1" applyFont="1" applyFill="1" applyBorder="1" applyAlignment="1">
      <alignment vertical="center"/>
      <protection/>
    </xf>
    <xf numFmtId="171" fontId="21" fillId="0" borderId="21" xfId="59" applyNumberFormat="1" applyFont="1" applyFill="1" applyBorder="1" applyAlignment="1">
      <alignment vertical="center"/>
      <protection/>
    </xf>
    <xf numFmtId="10" fontId="21" fillId="0" borderId="21" xfId="59" applyNumberFormat="1" applyFont="1" applyFill="1" applyBorder="1" applyAlignment="1">
      <alignment horizontal="center" vertical="center"/>
      <protection/>
    </xf>
    <xf numFmtId="3" fontId="95" fillId="0" borderId="19" xfId="59" applyNumberFormat="1" applyFont="1" applyFill="1" applyBorder="1" applyAlignment="1">
      <alignment vertical="center"/>
      <protection/>
    </xf>
    <xf numFmtId="4" fontId="95" fillId="0" borderId="21" xfId="59" applyNumberFormat="1" applyFont="1" applyFill="1" applyBorder="1" applyAlignment="1">
      <alignment vertical="center"/>
      <protection/>
    </xf>
    <xf numFmtId="3" fontId="95" fillId="0" borderId="19" xfId="44" applyNumberFormat="1" applyFont="1" applyFill="1" applyBorder="1" applyAlignment="1">
      <alignment horizontal="right" vertical="center"/>
    </xf>
    <xf numFmtId="171" fontId="21" fillId="0" borderId="19" xfId="44" applyNumberFormat="1" applyFont="1" applyFill="1" applyBorder="1" applyAlignment="1">
      <alignment horizontal="right" vertical="center"/>
    </xf>
    <xf numFmtId="4" fontId="95" fillId="0" borderId="21" xfId="44" applyNumberFormat="1" applyFont="1" applyFill="1" applyBorder="1" applyAlignment="1">
      <alignment horizontal="right" vertical="center"/>
    </xf>
    <xf numFmtId="171" fontId="21" fillId="0" borderId="21" xfId="44" applyNumberFormat="1" applyFont="1" applyFill="1" applyBorder="1" applyAlignment="1">
      <alignment horizontal="right" vertical="center"/>
    </xf>
    <xf numFmtId="3" fontId="95" fillId="0" borderId="21" xfId="44" applyNumberFormat="1" applyFont="1" applyFill="1" applyBorder="1" applyAlignment="1">
      <alignment horizontal="right" vertical="center"/>
    </xf>
    <xf numFmtId="3" fontId="95" fillId="0" borderId="31" xfId="59" applyNumberFormat="1" applyFont="1" applyFill="1" applyBorder="1" applyAlignment="1">
      <alignment vertical="center"/>
      <protection/>
    </xf>
    <xf numFmtId="171" fontId="21" fillId="0" borderId="31" xfId="59" applyNumberFormat="1" applyFont="1" applyFill="1" applyBorder="1" applyAlignment="1">
      <alignment vertical="center"/>
      <protection/>
    </xf>
    <xf numFmtId="10" fontId="21" fillId="0" borderId="31" xfId="59" applyNumberFormat="1" applyFont="1" applyFill="1" applyBorder="1" applyAlignment="1">
      <alignment horizontal="center" vertical="center"/>
      <protection/>
    </xf>
    <xf numFmtId="0" fontId="11" fillId="33" borderId="10" xfId="59" applyFont="1" applyFill="1" applyBorder="1" applyAlignment="1">
      <alignment horizontal="center" vertical="center"/>
      <protection/>
    </xf>
    <xf numFmtId="0" fontId="3" fillId="0" borderId="33" xfId="65" applyFont="1" applyBorder="1" applyAlignment="1">
      <alignment vertical="center"/>
      <protection/>
    </xf>
    <xf numFmtId="0" fontId="3" fillId="0" borderId="33" xfId="65" applyFont="1" applyBorder="1" applyAlignment="1">
      <alignment horizontal="centerContinuous" vertical="center"/>
      <protection/>
    </xf>
    <xf numFmtId="0" fontId="100" fillId="0" borderId="0" xfId="59" applyFont="1">
      <alignment/>
      <protection/>
    </xf>
    <xf numFmtId="0" fontId="84" fillId="0" borderId="0" xfId="59" applyFont="1">
      <alignment/>
      <protection/>
    </xf>
    <xf numFmtId="0" fontId="84" fillId="0" borderId="0" xfId="59" applyFont="1" applyAlignment="1">
      <alignment vertical="center"/>
      <protection/>
    </xf>
    <xf numFmtId="0" fontId="95" fillId="0" borderId="0" xfId="59" applyFont="1" applyAlignment="1">
      <alignment horizontal="left" vertical="center" indent="1"/>
      <protection/>
    </xf>
    <xf numFmtId="0" fontId="29" fillId="0" borderId="0" xfId="59" applyFont="1">
      <alignment/>
      <protection/>
    </xf>
    <xf numFmtId="0" fontId="2" fillId="0" borderId="0" xfId="59" applyFont="1" applyAlignment="1">
      <alignment vertical="center"/>
      <protection/>
    </xf>
    <xf numFmtId="0" fontId="21" fillId="0" borderId="0" xfId="59" applyFont="1" applyAlignment="1">
      <alignment horizontal="left" vertical="center" indent="1"/>
      <protection/>
    </xf>
    <xf numFmtId="4" fontId="95" fillId="0" borderId="0" xfId="71" applyNumberFormat="1" applyFont="1" applyProtection="1">
      <alignment/>
      <protection locked="0"/>
    </xf>
    <xf numFmtId="4" fontId="13" fillId="0" borderId="21" xfId="68" applyNumberFormat="1" applyFont="1" applyFill="1" applyBorder="1">
      <alignment/>
      <protection/>
    </xf>
    <xf numFmtId="4" fontId="13" fillId="0" borderId="19" xfId="68" applyNumberFormat="1" applyFont="1" applyFill="1" applyBorder="1">
      <alignment/>
      <protection/>
    </xf>
    <xf numFmtId="0" fontId="2" fillId="0" borderId="10" xfId="59" applyFont="1" applyBorder="1">
      <alignment/>
      <protection/>
    </xf>
    <xf numFmtId="0" fontId="5" fillId="0" borderId="10" xfId="59" applyFont="1" applyFill="1" applyBorder="1" applyAlignment="1">
      <alignment horizontal="center"/>
      <protection/>
    </xf>
    <xf numFmtId="4" fontId="9" fillId="39" borderId="10" xfId="59" applyNumberFormat="1" applyFont="1" applyFill="1" applyBorder="1" applyAlignment="1">
      <alignment vertical="center"/>
      <protection/>
    </xf>
    <xf numFmtId="4" fontId="11" fillId="40" borderId="10" xfId="68" applyNumberFormat="1" applyFont="1" applyFill="1" applyBorder="1" applyAlignment="1">
      <alignment vertical="center"/>
      <protection/>
    </xf>
    <xf numFmtId="4" fontId="11" fillId="38" borderId="10" xfId="59" applyNumberFormat="1" applyFont="1" applyFill="1" applyBorder="1" applyAlignment="1">
      <alignment vertical="center"/>
      <protection/>
    </xf>
    <xf numFmtId="4" fontId="11" fillId="0" borderId="10" xfId="59" applyNumberFormat="1" applyFont="1" applyBorder="1" applyAlignment="1">
      <alignment vertical="center"/>
      <protection/>
    </xf>
    <xf numFmtId="4" fontId="21" fillId="38" borderId="10" xfId="59" applyNumberFormat="1" applyFont="1" applyFill="1" applyBorder="1" applyAlignment="1">
      <alignment horizontal="center" vertical="center"/>
      <protection/>
    </xf>
    <xf numFmtId="3" fontId="11" fillId="34" borderId="10" xfId="59" applyNumberFormat="1" applyFont="1" applyFill="1" applyBorder="1" applyAlignment="1">
      <alignment horizontal="center" vertical="center"/>
      <protection/>
    </xf>
    <xf numFmtId="4" fontId="21" fillId="0" borderId="21" xfId="68" applyNumberFormat="1" applyFont="1" applyFill="1" applyBorder="1" applyAlignment="1">
      <alignment vertical="center"/>
      <protection/>
    </xf>
    <xf numFmtId="3" fontId="2" fillId="36" borderId="0" xfId="58" applyNumberFormat="1" applyFont="1" applyFill="1" applyAlignment="1">
      <alignment horizontal="righ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3" fontId="4" fillId="0" borderId="0" xfId="58" applyNumberFormat="1" applyFont="1" applyFill="1" applyAlignment="1">
      <alignment horizontal="right" vertical="top" wrapText="1"/>
      <protection/>
    </xf>
    <xf numFmtId="3" fontId="2" fillId="0" borderId="0" xfId="58" applyNumberFormat="1" applyFont="1" applyFill="1" applyAlignment="1">
      <alignment horizontal="right" vertical="top" wrapText="1"/>
      <protection/>
    </xf>
    <xf numFmtId="0" fontId="4" fillId="36" borderId="34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4" fillId="36" borderId="0" xfId="58" applyFont="1" applyFill="1" applyAlignment="1">
      <alignment horizontal="left" vertical="top" wrapText="1"/>
      <protection/>
    </xf>
    <xf numFmtId="0" fontId="82" fillId="0" borderId="0" xfId="0" applyFont="1" applyAlignment="1">
      <alignment horizontal="left" vertical="top" wrapText="1"/>
    </xf>
    <xf numFmtId="3" fontId="4" fillId="36" borderId="0" xfId="58" applyNumberFormat="1" applyFont="1" applyFill="1" applyAlignment="1">
      <alignment horizontal="right" vertical="top" wrapText="1"/>
      <protection/>
    </xf>
    <xf numFmtId="0" fontId="9" fillId="36" borderId="0" xfId="58" applyFont="1" applyFill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82" fillId="0" borderId="0" xfId="0" applyFont="1" applyAlignment="1">
      <alignment horizontal="right" vertical="top" wrapText="1"/>
    </xf>
    <xf numFmtId="0" fontId="2" fillId="36" borderId="0" xfId="58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3" fontId="2" fillId="36" borderId="0" xfId="58" applyNumberFormat="1" applyFont="1" applyFill="1" applyAlignment="1">
      <alignment horizontal="right" vertical="top" wrapText="1"/>
      <protection/>
    </xf>
    <xf numFmtId="0" fontId="7" fillId="36" borderId="0" xfId="58" applyFont="1" applyFill="1" applyAlignment="1">
      <alignment horizontal="left" vertical="top" wrapText="1"/>
      <protection/>
    </xf>
    <xf numFmtId="0" fontId="4" fillId="3" borderId="0" xfId="58" applyFont="1" applyFill="1" applyAlignment="1">
      <alignment horizontal="left" vertical="top" wrapText="1"/>
      <protection/>
    </xf>
    <xf numFmtId="0" fontId="82" fillId="3" borderId="0" xfId="0" applyFont="1" applyFill="1" applyAlignment="1">
      <alignment horizontal="left" vertical="top" wrapText="1"/>
    </xf>
    <xf numFmtId="3" fontId="4" fillId="3" borderId="0" xfId="58" applyNumberFormat="1" applyFont="1" applyFill="1" applyAlignment="1">
      <alignment horizontal="right" vertical="top" wrapText="1"/>
      <protection/>
    </xf>
    <xf numFmtId="0" fontId="82" fillId="3" borderId="0" xfId="0" applyFont="1" applyFill="1" applyAlignment="1">
      <alignment horizontal="right" vertical="top" wrapText="1"/>
    </xf>
    <xf numFmtId="0" fontId="7" fillId="3" borderId="0" xfId="58" applyFont="1" applyFill="1" applyAlignment="1">
      <alignment horizontal="left" vertical="top" wrapText="1"/>
      <protection/>
    </xf>
    <xf numFmtId="0" fontId="0" fillId="3" borderId="0" xfId="0" applyFill="1" applyAlignment="1">
      <alignment horizontal="left" vertical="top" wrapText="1"/>
    </xf>
    <xf numFmtId="0" fontId="2" fillId="0" borderId="0" xfId="58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3" fontId="2" fillId="0" borderId="0" xfId="58" applyNumberFormat="1" applyFont="1" applyFill="1" applyAlignment="1">
      <alignment horizontal="right" vertical="top" wrapText="1"/>
      <protection/>
    </xf>
    <xf numFmtId="0" fontId="7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82" fillId="0" borderId="0" xfId="0" applyFont="1" applyFill="1" applyAlignment="1">
      <alignment horizontal="left" vertical="top" wrapText="1"/>
    </xf>
    <xf numFmtId="3" fontId="4" fillId="0" borderId="0" xfId="58" applyNumberFormat="1" applyFont="1" applyFill="1" applyAlignment="1">
      <alignment horizontal="right" vertical="top" wrapText="1"/>
      <protection/>
    </xf>
    <xf numFmtId="0" fontId="6" fillId="36" borderId="0" xfId="58" applyFont="1" applyFill="1" applyAlignment="1">
      <alignment horizontal="right" vertical="top" wrapText="1"/>
      <protection/>
    </xf>
    <xf numFmtId="0" fontId="3" fillId="36" borderId="33" xfId="58" applyFont="1" applyFill="1" applyBorder="1" applyAlignment="1">
      <alignment horizontal="center" vertical="top" wrapText="1"/>
      <protection/>
    </xf>
    <xf numFmtId="0" fontId="0" fillId="0" borderId="33" xfId="0" applyBorder="1" applyAlignment="1">
      <alignment horizontal="center" vertical="top" wrapText="1"/>
    </xf>
    <xf numFmtId="0" fontId="4" fillId="36" borderId="36" xfId="5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6" borderId="36" xfId="58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59" applyFont="1" applyFill="1" applyAlignment="1">
      <alignment horizontal="right"/>
      <protection/>
    </xf>
    <xf numFmtId="0" fontId="6" fillId="0" borderId="0" xfId="59" applyFont="1" applyFill="1" applyBorder="1" applyAlignment="1">
      <alignment horizontal="right"/>
      <protection/>
    </xf>
    <xf numFmtId="0" fontId="6" fillId="0" borderId="0" xfId="68" applyFont="1" applyFill="1" applyAlignment="1">
      <alignment horizontal="right" vertical="center"/>
      <protection/>
    </xf>
    <xf numFmtId="0" fontId="11" fillId="33" borderId="10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>
      <alignment horizontal="center" vertical="center"/>
      <protection/>
    </xf>
    <xf numFmtId="0" fontId="11" fillId="33" borderId="15" xfId="59" applyFont="1" applyFill="1" applyBorder="1" applyAlignment="1">
      <alignment horizontal="center" vertical="center"/>
      <protection/>
    </xf>
    <xf numFmtId="0" fontId="11" fillId="33" borderId="35" xfId="59" applyFont="1" applyFill="1" applyBorder="1" applyAlignment="1">
      <alignment horizontal="center" vertical="center"/>
      <protection/>
    </xf>
    <xf numFmtId="0" fontId="11" fillId="33" borderId="15" xfId="59" applyFont="1" applyFill="1" applyBorder="1" applyAlignment="1">
      <alignment horizontal="center" vertical="center" wrapText="1"/>
      <protection/>
    </xf>
    <xf numFmtId="0" fontId="11" fillId="33" borderId="35" xfId="59" applyFont="1" applyFill="1" applyBorder="1" applyAlignment="1">
      <alignment horizontal="center" vertical="center" wrapText="1"/>
      <protection/>
    </xf>
    <xf numFmtId="0" fontId="21" fillId="0" borderId="38" xfId="59" applyFont="1" applyFill="1" applyBorder="1" applyAlignment="1">
      <alignment horizontal="center" vertical="center"/>
      <protection/>
    </xf>
    <xf numFmtId="0" fontId="21" fillId="0" borderId="39" xfId="59" applyFont="1" applyFill="1" applyBorder="1" applyAlignment="1">
      <alignment horizontal="center" vertical="center"/>
      <protection/>
    </xf>
    <xf numFmtId="0" fontId="21" fillId="0" borderId="21" xfId="65" applyFont="1" applyFill="1" applyBorder="1" applyAlignment="1">
      <alignment horizontal="left" vertical="center" wrapText="1" indent="1"/>
      <protection/>
    </xf>
    <xf numFmtId="0" fontId="21" fillId="0" borderId="19" xfId="65" applyFont="1" applyFill="1" applyBorder="1" applyAlignment="1">
      <alignment horizontal="left" vertical="center" wrapText="1" indent="1"/>
      <protection/>
    </xf>
    <xf numFmtId="0" fontId="21" fillId="0" borderId="21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center" vertical="center" wrapText="1"/>
      <protection/>
    </xf>
    <xf numFmtId="4" fontId="21" fillId="0" borderId="21" xfId="44" applyNumberFormat="1" applyFont="1" applyFill="1" applyBorder="1" applyAlignment="1">
      <alignment horizontal="center" vertical="center"/>
    </xf>
    <xf numFmtId="4" fontId="21" fillId="0" borderId="19" xfId="44" applyNumberFormat="1" applyFont="1" applyFill="1" applyBorder="1" applyAlignment="1">
      <alignment horizontal="center" vertical="center"/>
    </xf>
    <xf numFmtId="0" fontId="21" fillId="0" borderId="28" xfId="59" applyFont="1" applyFill="1" applyBorder="1" applyAlignment="1">
      <alignment horizontal="center" wrapText="1"/>
      <protection/>
    </xf>
    <xf numFmtId="0" fontId="21" fillId="0" borderId="27" xfId="59" applyFont="1" applyFill="1" applyBorder="1" applyAlignment="1">
      <alignment horizontal="center" wrapText="1"/>
      <protection/>
    </xf>
    <xf numFmtId="0" fontId="21" fillId="0" borderId="40" xfId="59" applyFont="1" applyFill="1" applyBorder="1" applyAlignment="1">
      <alignment horizontal="center" vertical="center"/>
      <protection/>
    </xf>
    <xf numFmtId="0" fontId="21" fillId="0" borderId="31" xfId="59" applyFont="1" applyFill="1" applyBorder="1" applyAlignment="1">
      <alignment horizontal="left" vertical="center" wrapText="1" indent="1"/>
      <protection/>
    </xf>
    <xf numFmtId="0" fontId="21" fillId="0" borderId="19" xfId="59" applyFont="1" applyFill="1" applyBorder="1" applyAlignment="1">
      <alignment horizontal="left" vertical="center" wrapText="1" indent="1"/>
      <protection/>
    </xf>
    <xf numFmtId="0" fontId="21" fillId="0" borderId="31" xfId="59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4" fontId="21" fillId="0" borderId="31" xfId="44" applyNumberFormat="1" applyFont="1" applyFill="1" applyBorder="1" applyAlignment="1">
      <alignment horizontal="center" vertical="center"/>
    </xf>
    <xf numFmtId="14" fontId="21" fillId="0" borderId="41" xfId="59" applyNumberFormat="1" applyFont="1" applyFill="1" applyBorder="1" applyAlignment="1">
      <alignment horizontal="center" vertical="center" wrapText="1"/>
      <protection/>
    </xf>
    <xf numFmtId="0" fontId="21" fillId="0" borderId="42" xfId="59" applyFont="1" applyFill="1" applyBorder="1" applyAlignment="1">
      <alignment horizontal="center" vertical="center" wrapText="1"/>
      <protection/>
    </xf>
    <xf numFmtId="0" fontId="21" fillId="0" borderId="21" xfId="59" applyFont="1" applyFill="1" applyBorder="1" applyAlignment="1">
      <alignment horizontal="left" vertical="center" wrapText="1" indent="1"/>
      <protection/>
    </xf>
    <xf numFmtId="0" fontId="21" fillId="0" borderId="21" xfId="59" applyFont="1" applyFill="1" applyBorder="1" applyAlignment="1">
      <alignment horizontal="center" vertical="center" wrapText="1"/>
      <protection/>
    </xf>
    <xf numFmtId="0" fontId="21" fillId="0" borderId="41" xfId="59" applyFont="1" applyFill="1" applyBorder="1" applyAlignment="1">
      <alignment horizontal="center" wrapText="1"/>
      <protection/>
    </xf>
    <xf numFmtId="0" fontId="21" fillId="0" borderId="42" xfId="59" applyFont="1" applyFill="1" applyBorder="1" applyAlignment="1">
      <alignment horizontal="center" wrapText="1"/>
      <protection/>
    </xf>
    <xf numFmtId="0" fontId="21" fillId="0" borderId="28" xfId="59" applyFont="1" applyFill="1" applyBorder="1" applyAlignment="1">
      <alignment horizontal="center" vertical="center" wrapText="1"/>
      <protection/>
    </xf>
    <xf numFmtId="0" fontId="21" fillId="0" borderId="27" xfId="59" applyFont="1" applyFill="1" applyBorder="1" applyAlignment="1">
      <alignment horizontal="center" vertical="center" wrapText="1"/>
      <protection/>
    </xf>
    <xf numFmtId="3" fontId="21" fillId="0" borderId="21" xfId="65" applyNumberFormat="1" applyFont="1" applyFill="1" applyBorder="1" applyAlignment="1">
      <alignment horizontal="left" vertical="center" wrapText="1" indent="1"/>
      <protection/>
    </xf>
    <xf numFmtId="4" fontId="21" fillId="0" borderId="21" xfId="44" applyNumberFormat="1" applyFont="1" applyFill="1" applyBorder="1" applyAlignment="1">
      <alignment horizontal="center" vertical="center" wrapText="1"/>
    </xf>
    <xf numFmtId="4" fontId="21" fillId="0" borderId="19" xfId="44" applyNumberFormat="1" applyFont="1" applyFill="1" applyBorder="1" applyAlignment="1">
      <alignment horizontal="center" vertical="center" wrapText="1"/>
    </xf>
    <xf numFmtId="0" fontId="21" fillId="0" borderId="26" xfId="59" applyFont="1" applyFill="1" applyBorder="1" applyAlignment="1">
      <alignment horizontal="center" wrapText="1"/>
      <protection/>
    </xf>
    <xf numFmtId="0" fontId="21" fillId="0" borderId="25" xfId="59" applyFont="1" applyFill="1" applyBorder="1" applyAlignment="1">
      <alignment horizontal="center" wrapText="1"/>
      <protection/>
    </xf>
    <xf numFmtId="0" fontId="21" fillId="0" borderId="26" xfId="59" applyFont="1" applyFill="1" applyBorder="1" applyAlignment="1">
      <alignment horizontal="center" vertical="center" wrapText="1"/>
      <protection/>
    </xf>
    <xf numFmtId="0" fontId="21" fillId="0" borderId="25" xfId="59" applyFont="1" applyFill="1" applyBorder="1" applyAlignment="1">
      <alignment horizontal="center" vertical="center" wrapText="1"/>
      <protection/>
    </xf>
    <xf numFmtId="0" fontId="21" fillId="0" borderId="30" xfId="65" applyFont="1" applyFill="1" applyBorder="1" applyAlignment="1">
      <alignment horizontal="left" vertical="center" wrapText="1" indent="1"/>
      <protection/>
    </xf>
    <xf numFmtId="0" fontId="21" fillId="0" borderId="30" xfId="65" applyFont="1" applyFill="1" applyBorder="1" applyAlignment="1">
      <alignment horizontal="center" vertical="center" wrapText="1"/>
      <protection/>
    </xf>
    <xf numFmtId="4" fontId="21" fillId="0" borderId="30" xfId="44" applyNumberFormat="1" applyFont="1" applyFill="1" applyBorder="1" applyAlignment="1">
      <alignment horizontal="center" vertical="center"/>
    </xf>
    <xf numFmtId="0" fontId="21" fillId="0" borderId="31" xfId="65" applyFont="1" applyFill="1" applyBorder="1" applyAlignment="1">
      <alignment horizontal="left" vertical="center" wrapText="1" indent="1"/>
      <protection/>
    </xf>
    <xf numFmtId="0" fontId="21" fillId="0" borderId="31" xfId="65" applyFont="1" applyFill="1" applyBorder="1" applyAlignment="1">
      <alignment horizontal="center" vertical="center" wrapText="1"/>
      <protection/>
    </xf>
    <xf numFmtId="0" fontId="21" fillId="0" borderId="26" xfId="65" applyFont="1" applyFill="1" applyBorder="1" applyAlignment="1">
      <alignment horizontal="center" vertical="center" wrapText="1"/>
      <protection/>
    </xf>
    <xf numFmtId="0" fontId="21" fillId="0" borderId="25" xfId="65" applyFont="1" applyFill="1" applyBorder="1" applyAlignment="1">
      <alignment horizontal="center" vertical="center" wrapText="1"/>
      <protection/>
    </xf>
    <xf numFmtId="4" fontId="21" fillId="0" borderId="26" xfId="44" applyNumberFormat="1" applyFont="1" applyFill="1" applyBorder="1" applyAlignment="1">
      <alignment horizontal="center" vertical="center"/>
    </xf>
    <xf numFmtId="4" fontId="21" fillId="0" borderId="25" xfId="44" applyNumberFormat="1" applyFont="1" applyFill="1" applyBorder="1" applyAlignment="1">
      <alignment horizontal="center" vertical="center"/>
    </xf>
    <xf numFmtId="0" fontId="21" fillId="0" borderId="26" xfId="65" applyFont="1" applyFill="1" applyBorder="1" applyAlignment="1">
      <alignment horizontal="left" vertical="center" wrapText="1" indent="1"/>
      <protection/>
    </xf>
    <xf numFmtId="0" fontId="21" fillId="0" borderId="25" xfId="65" applyFont="1" applyFill="1" applyBorder="1" applyAlignment="1">
      <alignment horizontal="left" vertical="center" wrapText="1" indent="1"/>
      <protection/>
    </xf>
    <xf numFmtId="4" fontId="21" fillId="0" borderId="26" xfId="65" applyNumberFormat="1" applyFont="1" applyFill="1" applyBorder="1" applyAlignment="1">
      <alignment horizontal="left" vertical="center" wrapText="1" indent="1"/>
      <protection/>
    </xf>
    <xf numFmtId="4" fontId="21" fillId="0" borderId="25" xfId="65" applyNumberFormat="1" applyFont="1" applyFill="1" applyBorder="1" applyAlignment="1">
      <alignment horizontal="left" vertical="center" wrapText="1" indent="1"/>
      <protection/>
    </xf>
    <xf numFmtId="0" fontId="13" fillId="0" borderId="38" xfId="59" applyFont="1" applyFill="1" applyBorder="1" applyAlignment="1">
      <alignment horizontal="center" vertical="center"/>
      <protection/>
    </xf>
    <xf numFmtId="0" fontId="13" fillId="0" borderId="39" xfId="59" applyFont="1" applyFill="1" applyBorder="1" applyAlignment="1">
      <alignment horizontal="center" vertical="center"/>
      <protection/>
    </xf>
    <xf numFmtId="0" fontId="13" fillId="0" borderId="21" xfId="65" applyFont="1" applyFill="1" applyBorder="1" applyAlignment="1">
      <alignment horizontal="left" vertical="center" wrapText="1" indent="1"/>
      <protection/>
    </xf>
    <xf numFmtId="0" fontId="13" fillId="0" borderId="19" xfId="65" applyFont="1" applyFill="1" applyBorder="1" applyAlignment="1">
      <alignment horizontal="left" vertical="center" wrapText="1" indent="1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0" fontId="13" fillId="0" borderId="25" xfId="65" applyFont="1" applyFill="1" applyBorder="1" applyAlignment="1">
      <alignment horizontal="center" vertical="center" wrapText="1"/>
      <protection/>
    </xf>
    <xf numFmtId="4" fontId="13" fillId="0" borderId="21" xfId="44" applyNumberFormat="1" applyFont="1" applyFill="1" applyBorder="1" applyAlignment="1">
      <alignment horizontal="center" vertical="center"/>
    </xf>
    <xf numFmtId="4" fontId="13" fillId="0" borderId="19" xfId="44" applyNumberFormat="1" applyFont="1" applyFill="1" applyBorder="1" applyAlignment="1">
      <alignment horizontal="center" vertical="center"/>
    </xf>
    <xf numFmtId="0" fontId="13" fillId="0" borderId="26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13" fillId="0" borderId="26" xfId="65" applyFont="1" applyFill="1" applyBorder="1" applyAlignment="1">
      <alignment horizontal="left" vertical="center" wrapText="1" indent="1"/>
      <protection/>
    </xf>
    <xf numFmtId="0" fontId="13" fillId="0" borderId="25" xfId="65" applyFont="1" applyFill="1" applyBorder="1" applyAlignment="1">
      <alignment horizontal="left" vertical="center" wrapText="1" indent="1"/>
      <protection/>
    </xf>
    <xf numFmtId="4" fontId="13" fillId="0" borderId="26" xfId="44" applyNumberFormat="1" applyFont="1" applyFill="1" applyBorder="1" applyAlignment="1">
      <alignment horizontal="center" vertical="center"/>
    </xf>
    <xf numFmtId="4" fontId="13" fillId="0" borderId="25" xfId="44" applyNumberFormat="1" applyFont="1" applyFill="1" applyBorder="1" applyAlignment="1">
      <alignment horizontal="center" vertical="center"/>
    </xf>
    <xf numFmtId="0" fontId="13" fillId="0" borderId="43" xfId="59" applyFont="1" applyFill="1" applyBorder="1" applyAlignment="1">
      <alignment horizontal="center" vertical="center"/>
      <protection/>
    </xf>
    <xf numFmtId="0" fontId="13" fillId="0" borderId="44" xfId="59" applyFont="1" applyFill="1" applyBorder="1" applyAlignment="1">
      <alignment horizontal="center" vertical="center"/>
      <protection/>
    </xf>
    <xf numFmtId="0" fontId="98" fillId="0" borderId="38" xfId="59" applyFont="1" applyFill="1" applyBorder="1" applyAlignment="1">
      <alignment horizontal="center" vertical="center"/>
      <protection/>
    </xf>
    <xf numFmtId="0" fontId="98" fillId="0" borderId="39" xfId="59" applyFont="1" applyFill="1" applyBorder="1" applyAlignment="1">
      <alignment horizontal="center" vertical="center"/>
      <protection/>
    </xf>
    <xf numFmtId="0" fontId="98" fillId="0" borderId="26" xfId="65" applyFont="1" applyFill="1" applyBorder="1" applyAlignment="1">
      <alignment horizontal="left" vertical="center" wrapText="1" indent="1"/>
      <protection/>
    </xf>
    <xf numFmtId="0" fontId="98" fillId="0" borderId="25" xfId="65" applyFont="1" applyFill="1" applyBorder="1" applyAlignment="1">
      <alignment horizontal="left" vertical="center" wrapText="1" indent="1"/>
      <protection/>
    </xf>
    <xf numFmtId="0" fontId="98" fillId="0" borderId="26" xfId="65" applyFont="1" applyFill="1" applyBorder="1" applyAlignment="1">
      <alignment horizontal="center" vertical="center" wrapText="1"/>
      <protection/>
    </xf>
    <xf numFmtId="0" fontId="98" fillId="0" borderId="25" xfId="65" applyFont="1" applyFill="1" applyBorder="1" applyAlignment="1">
      <alignment horizontal="center" vertical="center" wrapText="1"/>
      <protection/>
    </xf>
    <xf numFmtId="4" fontId="98" fillId="0" borderId="26" xfId="44" applyNumberFormat="1" applyFont="1" applyFill="1" applyBorder="1" applyAlignment="1">
      <alignment horizontal="center" vertical="center"/>
    </xf>
    <xf numFmtId="4" fontId="98" fillId="0" borderId="25" xfId="44" applyNumberFormat="1" applyFont="1" applyFill="1" applyBorder="1" applyAlignment="1">
      <alignment horizontal="center" vertical="center"/>
    </xf>
    <xf numFmtId="0" fontId="98" fillId="0" borderId="26" xfId="59" applyFont="1" applyFill="1" applyBorder="1" applyAlignment="1">
      <alignment horizontal="center" vertical="center" wrapText="1"/>
      <protection/>
    </xf>
    <xf numFmtId="0" fontId="98" fillId="0" borderId="25" xfId="59" applyFont="1" applyFill="1" applyBorder="1" applyAlignment="1">
      <alignment horizontal="center" vertical="center" wrapText="1"/>
      <protection/>
    </xf>
    <xf numFmtId="174" fontId="5" fillId="34" borderId="10" xfId="59" applyNumberFormat="1" applyFont="1" applyFill="1" applyBorder="1" applyAlignment="1">
      <alignment horizontal="left" vertical="center"/>
      <protection/>
    </xf>
    <xf numFmtId="174" fontId="5" fillId="13" borderId="10" xfId="59" applyNumberFormat="1" applyFont="1" applyFill="1" applyBorder="1" applyAlignment="1">
      <alignment horizontal="left" vertical="center"/>
      <protection/>
    </xf>
    <xf numFmtId="0" fontId="5" fillId="34" borderId="10" xfId="59" applyFont="1" applyFill="1" applyBorder="1" applyAlignment="1">
      <alignment horizontal="left" vertical="center"/>
      <protection/>
    </xf>
    <xf numFmtId="0" fontId="5" fillId="34" borderId="36" xfId="59" applyFont="1" applyFill="1" applyBorder="1" applyAlignment="1">
      <alignment horizontal="lef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0" fontId="5" fillId="34" borderId="37" xfId="59" applyFont="1" applyFill="1" applyBorder="1" applyAlignment="1">
      <alignment horizontal="left" vertical="center"/>
      <protection/>
    </xf>
    <xf numFmtId="0" fontId="11" fillId="0" borderId="10" xfId="59" applyFont="1" applyFill="1" applyBorder="1" applyAlignment="1">
      <alignment horizontal="right" vertical="center"/>
      <protection/>
    </xf>
    <xf numFmtId="0" fontId="11" fillId="0" borderId="10" xfId="59" applyFont="1" applyBorder="1" applyAlignment="1">
      <alignment horizontal="right" vertical="center"/>
      <protection/>
    </xf>
    <xf numFmtId="0" fontId="11" fillId="40" borderId="10" xfId="59" applyFont="1" applyFill="1" applyBorder="1" applyAlignment="1">
      <alignment horizontal="right" vertical="center"/>
      <protection/>
    </xf>
    <xf numFmtId="0" fontId="19" fillId="0" borderId="0" xfId="59" applyFont="1" applyAlignment="1">
      <alignment horizontal="right"/>
      <protection/>
    </xf>
    <xf numFmtId="175" fontId="21" fillId="0" borderId="21" xfId="44" applyNumberFormat="1" applyFont="1" applyFill="1" applyBorder="1" applyAlignment="1">
      <alignment horizontal="center" vertical="center"/>
    </xf>
    <xf numFmtId="175" fontId="21" fillId="0" borderId="19" xfId="44" applyNumberFormat="1" applyFont="1" applyFill="1" applyBorder="1" applyAlignment="1">
      <alignment horizontal="center" vertical="center"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3" fontId="21" fillId="0" borderId="21" xfId="59" applyNumberFormat="1" applyFont="1" applyFill="1" applyBorder="1" applyAlignment="1">
      <alignment horizontal="left" vertical="center" wrapText="1" indent="1"/>
      <protection/>
    </xf>
    <xf numFmtId="0" fontId="21" fillId="0" borderId="10" xfId="59" applyFont="1" applyFill="1" applyBorder="1" applyAlignment="1">
      <alignment horizontal="right" vertical="center"/>
      <protection/>
    </xf>
    <xf numFmtId="175" fontId="13" fillId="0" borderId="21" xfId="44" applyNumberFormat="1" applyFont="1" applyFill="1" applyBorder="1" applyAlignment="1">
      <alignment horizontal="center" vertical="center"/>
    </xf>
    <xf numFmtId="175" fontId="13" fillId="0" borderId="19" xfId="44" applyNumberFormat="1" applyFont="1" applyFill="1" applyBorder="1" applyAlignment="1">
      <alignment horizontal="center" vertical="center"/>
    </xf>
    <xf numFmtId="174" fontId="5" fillId="34" borderId="36" xfId="59" applyNumberFormat="1" applyFont="1" applyFill="1" applyBorder="1" applyAlignment="1">
      <alignment horizontal="left"/>
      <protection/>
    </xf>
    <xf numFmtId="174" fontId="5" fillId="34" borderId="11" xfId="59" applyNumberFormat="1" applyFont="1" applyFill="1" applyBorder="1" applyAlignment="1">
      <alignment horizontal="left"/>
      <protection/>
    </xf>
    <xf numFmtId="174" fontId="5" fillId="34" borderId="37" xfId="59" applyNumberFormat="1" applyFont="1" applyFill="1" applyBorder="1" applyAlignment="1">
      <alignment horizontal="left"/>
      <protection/>
    </xf>
    <xf numFmtId="174" fontId="5" fillId="35" borderId="45" xfId="59" applyNumberFormat="1" applyFont="1" applyFill="1" applyBorder="1" applyAlignment="1">
      <alignment horizontal="left"/>
      <protection/>
    </xf>
    <xf numFmtId="174" fontId="5" fillId="35" borderId="46" xfId="59" applyNumberFormat="1" applyFont="1" applyFill="1" applyBorder="1" applyAlignment="1">
      <alignment horizontal="left"/>
      <protection/>
    </xf>
    <xf numFmtId="174" fontId="5" fillId="35" borderId="47" xfId="59" applyNumberFormat="1" applyFont="1" applyFill="1" applyBorder="1" applyAlignment="1">
      <alignment horizontal="left"/>
      <protection/>
    </xf>
    <xf numFmtId="174" fontId="11" fillId="13" borderId="48" xfId="59" applyNumberFormat="1" applyFont="1" applyFill="1" applyBorder="1" applyAlignment="1">
      <alignment horizontal="left"/>
      <protection/>
    </xf>
    <xf numFmtId="174" fontId="11" fillId="13" borderId="49" xfId="59" applyNumberFormat="1" applyFont="1" applyFill="1" applyBorder="1" applyAlignment="1">
      <alignment horizontal="left"/>
      <protection/>
    </xf>
    <xf numFmtId="174" fontId="11" fillId="13" borderId="50" xfId="59" applyNumberFormat="1" applyFont="1" applyFill="1" applyBorder="1" applyAlignment="1">
      <alignment horizontal="left"/>
      <protection/>
    </xf>
    <xf numFmtId="0" fontId="5" fillId="34" borderId="36" xfId="59" applyFont="1" applyFill="1" applyBorder="1" applyAlignment="1">
      <alignment horizontal="left"/>
      <protection/>
    </xf>
    <xf numFmtId="0" fontId="5" fillId="34" borderId="11" xfId="59" applyFont="1" applyFill="1" applyBorder="1" applyAlignment="1">
      <alignment horizontal="left"/>
      <protection/>
    </xf>
    <xf numFmtId="0" fontId="5" fillId="34" borderId="37" xfId="59" applyFont="1" applyFill="1" applyBorder="1" applyAlignment="1">
      <alignment horizontal="left"/>
      <protection/>
    </xf>
    <xf numFmtId="174" fontId="5" fillId="34" borderId="10" xfId="59" applyNumberFormat="1" applyFont="1" applyFill="1" applyBorder="1" applyAlignment="1">
      <alignment horizontal="left"/>
      <protection/>
    </xf>
    <xf numFmtId="174" fontId="5" fillId="34" borderId="17" xfId="59" applyNumberFormat="1" applyFont="1" applyFill="1" applyBorder="1" applyAlignment="1">
      <alignment horizontal="left"/>
      <protection/>
    </xf>
    <xf numFmtId="174" fontId="5" fillId="13" borderId="12" xfId="59" applyNumberFormat="1" applyFont="1" applyFill="1" applyBorder="1" applyAlignment="1">
      <alignment horizontal="left"/>
      <protection/>
    </xf>
    <xf numFmtId="0" fontId="5" fillId="13" borderId="12" xfId="59" applyFont="1" applyFill="1" applyBorder="1" applyAlignment="1">
      <alignment horizontal="left"/>
      <protection/>
    </xf>
    <xf numFmtId="0" fontId="3" fillId="0" borderId="33" xfId="0" applyFont="1" applyBorder="1" applyAlignment="1">
      <alignment horizont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4" fillId="9" borderId="36" xfId="0" applyFont="1" applyFill="1" applyBorder="1" applyAlignment="1">
      <alignment horizontal="left" wrapText="1"/>
    </xf>
    <xf numFmtId="0" fontId="4" fillId="9" borderId="11" xfId="0" applyFont="1" applyFill="1" applyBorder="1" applyAlignment="1">
      <alignment horizontal="left" wrapText="1"/>
    </xf>
    <xf numFmtId="0" fontId="4" fillId="9" borderId="37" xfId="0" applyFont="1" applyFill="1" applyBorder="1" applyAlignment="1">
      <alignment horizontal="left" wrapText="1"/>
    </xf>
    <xf numFmtId="0" fontId="4" fillId="33" borderId="10" xfId="70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4" fillId="36" borderId="51" xfId="58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36" borderId="52" xfId="58" applyFont="1" applyFill="1" applyBorder="1" applyAlignment="1">
      <alignment horizontal="center" vertical="center" wrapText="1"/>
      <protection/>
    </xf>
    <xf numFmtId="0" fontId="3" fillId="36" borderId="53" xfId="58" applyFont="1" applyFill="1" applyBorder="1" applyAlignment="1">
      <alignment horizontal="center" vertical="top" wrapText="1"/>
      <protection/>
    </xf>
    <xf numFmtId="0" fontId="0" fillId="0" borderId="53" xfId="0" applyBorder="1" applyAlignment="1">
      <alignment horizontal="center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4 2" xfId="63"/>
    <cellStyle name="Normal 5" xfId="64"/>
    <cellStyle name="Normal 5 2 2" xfId="65"/>
    <cellStyle name="Normal 6" xfId="66"/>
    <cellStyle name="Normal 6 2" xfId="67"/>
    <cellStyle name="Normal 6 2 3" xfId="68"/>
    <cellStyle name="Normal 6 3" xfId="69"/>
    <cellStyle name="Normal 7" xfId="70"/>
    <cellStyle name="Normal_Pamatformas 2" xfId="71"/>
    <cellStyle name="Note" xfId="72"/>
    <cellStyle name="Output" xfId="73"/>
    <cellStyle name="Percent" xfId="74"/>
    <cellStyle name="Percent 2 3" xfId="75"/>
    <cellStyle name="Percent 4 2" xfId="76"/>
    <cellStyle name="Percent 6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1" customWidth="1"/>
    <col min="2" max="2" width="41.57421875" style="143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3:7" ht="15">
      <c r="C1" s="2"/>
      <c r="D1" s="477" t="s">
        <v>0</v>
      </c>
      <c r="E1" s="477"/>
      <c r="G1" s="47"/>
    </row>
    <row r="2" spans="1:5" s="2" customFormat="1" ht="15">
      <c r="A2" s="1"/>
      <c r="B2" s="477" t="s">
        <v>1087</v>
      </c>
      <c r="C2" s="477"/>
      <c r="D2" s="477"/>
      <c r="E2" s="477"/>
    </row>
    <row r="3" spans="1:5" s="2" customFormat="1" ht="15">
      <c r="A3" s="1"/>
      <c r="B3" s="143"/>
      <c r="C3" s="478" t="s">
        <v>1088</v>
      </c>
      <c r="D3" s="478"/>
      <c r="E3" s="478"/>
    </row>
    <row r="5" spans="1:5" ht="39.75" customHeight="1">
      <c r="A5" s="479" t="s">
        <v>912</v>
      </c>
      <c r="B5" s="480"/>
      <c r="C5" s="480"/>
      <c r="D5" s="480"/>
      <c r="E5" s="480"/>
    </row>
    <row r="6" spans="1:5" ht="23.25" customHeight="1">
      <c r="A6" s="481" t="s">
        <v>1</v>
      </c>
      <c r="B6" s="481"/>
      <c r="C6" s="481"/>
      <c r="D6" s="481"/>
      <c r="E6" s="481"/>
    </row>
    <row r="7" ht="15">
      <c r="E7" s="73"/>
    </row>
    <row r="8" spans="1:5" ht="38.25">
      <c r="A8" s="142" t="s">
        <v>2</v>
      </c>
      <c r="B8" s="142" t="s">
        <v>3</v>
      </c>
      <c r="C8" s="142" t="s">
        <v>913</v>
      </c>
      <c r="D8" s="142" t="s">
        <v>482</v>
      </c>
      <c r="E8" s="174" t="s">
        <v>931</v>
      </c>
    </row>
    <row r="9" spans="1:5" ht="21.75" customHeight="1">
      <c r="A9" s="144"/>
      <c r="B9" s="145" t="s">
        <v>4</v>
      </c>
      <c r="C9" s="159">
        <f>C10+C20+C52+C62</f>
        <v>97369543</v>
      </c>
      <c r="D9" s="159">
        <f>D10+D20+D52+D62</f>
        <v>1476012</v>
      </c>
      <c r="E9" s="159">
        <f>E10+E20+E52+E62</f>
        <v>98845555</v>
      </c>
    </row>
    <row r="10" spans="1:5" ht="15">
      <c r="A10" s="146"/>
      <c r="B10" s="4" t="s">
        <v>5</v>
      </c>
      <c r="C10" s="5">
        <f>C11+C13+C17</f>
        <v>57943787</v>
      </c>
      <c r="D10" s="191">
        <f>D11+D13+D17</f>
        <v>0</v>
      </c>
      <c r="E10" s="5">
        <f>E11+E13+E17</f>
        <v>57943787</v>
      </c>
    </row>
    <row r="11" spans="1:5" ht="17.25" customHeight="1">
      <c r="A11" s="6" t="s">
        <v>6</v>
      </c>
      <c r="B11" s="7" t="s">
        <v>7</v>
      </c>
      <c r="C11" s="8">
        <f>C12</f>
        <v>53949482</v>
      </c>
      <c r="D11" s="8">
        <f>D12</f>
        <v>0</v>
      </c>
      <c r="E11" s="8">
        <f>E12</f>
        <v>53949482</v>
      </c>
    </row>
    <row r="12" spans="1:5" ht="38.25">
      <c r="A12" s="12" t="s">
        <v>9</v>
      </c>
      <c r="B12" s="13" t="s">
        <v>423</v>
      </c>
      <c r="C12" s="14">
        <v>53949482</v>
      </c>
      <c r="D12" s="11">
        <v>0</v>
      </c>
      <c r="E12" s="14">
        <f>C12+D12</f>
        <v>53949482</v>
      </c>
    </row>
    <row r="13" spans="1:5" ht="15">
      <c r="A13" s="6" t="s">
        <v>10</v>
      </c>
      <c r="B13" s="7" t="s">
        <v>11</v>
      </c>
      <c r="C13" s="8">
        <f>C14+C15+C16</f>
        <v>3874000</v>
      </c>
      <c r="D13" s="8">
        <f>D14+D15+D16</f>
        <v>0</v>
      </c>
      <c r="E13" s="8">
        <f>E14+E15+E16</f>
        <v>3874000</v>
      </c>
    </row>
    <row r="14" spans="1:5" ht="15">
      <c r="A14" s="12" t="s">
        <v>12</v>
      </c>
      <c r="B14" s="13" t="s">
        <v>13</v>
      </c>
      <c r="C14" s="14">
        <v>1473561</v>
      </c>
      <c r="D14" s="14">
        <v>0</v>
      </c>
      <c r="E14" s="14">
        <f>C14+D14</f>
        <v>1473561</v>
      </c>
    </row>
    <row r="15" spans="1:5" ht="15">
      <c r="A15" s="12" t="s">
        <v>14</v>
      </c>
      <c r="B15" s="13" t="s">
        <v>15</v>
      </c>
      <c r="C15" s="14">
        <v>1524393</v>
      </c>
      <c r="D15" s="14">
        <v>0</v>
      </c>
      <c r="E15" s="14">
        <f>C15+D15</f>
        <v>1524393</v>
      </c>
    </row>
    <row r="16" spans="1:5" ht="15">
      <c r="A16" s="12" t="s">
        <v>16</v>
      </c>
      <c r="B16" s="13" t="s">
        <v>17</v>
      </c>
      <c r="C16" s="14">
        <v>876046</v>
      </c>
      <c r="D16" s="14">
        <v>0</v>
      </c>
      <c r="E16" s="14">
        <f>C16+D16</f>
        <v>876046</v>
      </c>
    </row>
    <row r="17" spans="1:5" ht="15">
      <c r="A17" s="6" t="s">
        <v>160</v>
      </c>
      <c r="B17" s="7" t="s">
        <v>424</v>
      </c>
      <c r="C17" s="8">
        <f>C18+C19</f>
        <v>120305</v>
      </c>
      <c r="D17" s="8">
        <f>D18+D19</f>
        <v>0</v>
      </c>
      <c r="E17" s="8">
        <f>E18+E19</f>
        <v>120305</v>
      </c>
    </row>
    <row r="18" spans="1:5" ht="15">
      <c r="A18" s="12" t="s">
        <v>18</v>
      </c>
      <c r="B18" s="13" t="s">
        <v>19</v>
      </c>
      <c r="C18" s="14">
        <v>85305</v>
      </c>
      <c r="D18" s="14">
        <v>0</v>
      </c>
      <c r="E18" s="14">
        <f>C18+D18</f>
        <v>85305</v>
      </c>
    </row>
    <row r="19" spans="1:5" ht="15">
      <c r="A19" s="12" t="s">
        <v>20</v>
      </c>
      <c r="B19" s="147" t="s">
        <v>21</v>
      </c>
      <c r="C19" s="14">
        <v>35000</v>
      </c>
      <c r="D19" s="14">
        <v>0</v>
      </c>
      <c r="E19" s="14">
        <f>C19+D19</f>
        <v>35000</v>
      </c>
    </row>
    <row r="20" spans="1:7" ht="15">
      <c r="A20" s="146"/>
      <c r="B20" s="4" t="s">
        <v>22</v>
      </c>
      <c r="C20" s="5">
        <f>C23+C37+C41+C48+C21</f>
        <v>776898</v>
      </c>
      <c r="D20" s="191">
        <f>D23+D37+D41+D48+D21</f>
        <v>-33811</v>
      </c>
      <c r="E20" s="5">
        <f>E23+E37+E41+E48+E21</f>
        <v>743087</v>
      </c>
      <c r="G20" s="48"/>
    </row>
    <row r="21" spans="1:7" s="206" customFormat="1" ht="15">
      <c r="A21" s="6" t="s">
        <v>166</v>
      </c>
      <c r="B21" s="7" t="s">
        <v>928</v>
      </c>
      <c r="C21" s="8">
        <f>C22</f>
        <v>0</v>
      </c>
      <c r="D21" s="8">
        <f>D22</f>
        <v>80000</v>
      </c>
      <c r="E21" s="8">
        <f>C21+D21</f>
        <v>80000</v>
      </c>
      <c r="G21" s="207"/>
    </row>
    <row r="22" spans="1:7" s="206" customFormat="1" ht="25.5">
      <c r="A22" s="12" t="s">
        <v>929</v>
      </c>
      <c r="B22" s="13" t="s">
        <v>930</v>
      </c>
      <c r="C22" s="14">
        <v>0</v>
      </c>
      <c r="D22" s="14">
        <v>80000</v>
      </c>
      <c r="E22" s="14">
        <f>C22+D22</f>
        <v>80000</v>
      </c>
      <c r="G22" s="207"/>
    </row>
    <row r="23" spans="1:7" ht="15">
      <c r="A23" s="6" t="s">
        <v>23</v>
      </c>
      <c r="B23" s="7" t="s">
        <v>24</v>
      </c>
      <c r="C23" s="8">
        <f>C24+C29</f>
        <v>56000</v>
      </c>
      <c r="D23" s="8">
        <f>D24+D29</f>
        <v>0</v>
      </c>
      <c r="E23" s="8">
        <f>E24+E29</f>
        <v>56000</v>
      </c>
      <c r="G23" s="48"/>
    </row>
    <row r="24" spans="1:5" ht="15">
      <c r="A24" s="148" t="s">
        <v>25</v>
      </c>
      <c r="B24" s="7" t="s">
        <v>26</v>
      </c>
      <c r="C24" s="8">
        <f>SUM(C25:C28)</f>
        <v>16000</v>
      </c>
      <c r="D24" s="8">
        <f>SUM(D25:D28)</f>
        <v>0</v>
      </c>
      <c r="E24" s="8">
        <f>SUM(E25:E28)</f>
        <v>16000</v>
      </c>
    </row>
    <row r="25" spans="1:5" ht="38.25">
      <c r="A25" s="12" t="s">
        <v>27</v>
      </c>
      <c r="B25" s="13" t="s">
        <v>28</v>
      </c>
      <c r="C25" s="14">
        <v>3500</v>
      </c>
      <c r="D25" s="14">
        <v>0</v>
      </c>
      <c r="E25" s="14">
        <f>C25+D25</f>
        <v>3500</v>
      </c>
    </row>
    <row r="26" spans="1:5" ht="63.75">
      <c r="A26" s="12" t="s">
        <v>29</v>
      </c>
      <c r="B26" s="13" t="s">
        <v>30</v>
      </c>
      <c r="C26" s="14">
        <v>10000</v>
      </c>
      <c r="D26" s="14">
        <v>0</v>
      </c>
      <c r="E26" s="14">
        <f aca="true" t="shared" si="0" ref="E26:E36">C26+D26</f>
        <v>10000</v>
      </c>
    </row>
    <row r="27" spans="1:5" ht="25.5">
      <c r="A27" s="12" t="s">
        <v>483</v>
      </c>
      <c r="B27" s="13" t="s">
        <v>484</v>
      </c>
      <c r="C27" s="14">
        <v>500</v>
      </c>
      <c r="D27" s="14">
        <v>0</v>
      </c>
      <c r="E27" s="14">
        <f t="shared" si="0"/>
        <v>500</v>
      </c>
    </row>
    <row r="28" spans="1:5" ht="25.5">
      <c r="A28" s="12" t="s">
        <v>31</v>
      </c>
      <c r="B28" s="13" t="s">
        <v>32</v>
      </c>
      <c r="C28" s="14">
        <v>2000</v>
      </c>
      <c r="D28" s="14">
        <v>0</v>
      </c>
      <c r="E28" s="14">
        <f t="shared" si="0"/>
        <v>2000</v>
      </c>
    </row>
    <row r="29" spans="1:5" ht="15">
      <c r="A29" s="148" t="s">
        <v>33</v>
      </c>
      <c r="B29" s="7" t="s">
        <v>34</v>
      </c>
      <c r="C29" s="8">
        <f>SUM(C30:C36)</f>
        <v>40000</v>
      </c>
      <c r="D29" s="8">
        <f>SUM(D30:D36)</f>
        <v>0</v>
      </c>
      <c r="E29" s="8">
        <f>SUM(E30:E36)</f>
        <v>40000</v>
      </c>
    </row>
    <row r="30" spans="1:5" ht="39">
      <c r="A30" s="12" t="s">
        <v>35</v>
      </c>
      <c r="B30" s="147" t="s">
        <v>36</v>
      </c>
      <c r="C30" s="14">
        <v>4000</v>
      </c>
      <c r="D30" s="11">
        <v>0</v>
      </c>
      <c r="E30" s="14">
        <f t="shared" si="0"/>
        <v>4000</v>
      </c>
    </row>
    <row r="31" spans="1:5" ht="26.25">
      <c r="A31" s="12" t="s">
        <v>37</v>
      </c>
      <c r="B31" s="147" t="s">
        <v>38</v>
      </c>
      <c r="C31" s="14">
        <v>500</v>
      </c>
      <c r="D31" s="11">
        <v>0</v>
      </c>
      <c r="E31" s="14">
        <f t="shared" si="0"/>
        <v>500</v>
      </c>
    </row>
    <row r="32" spans="1:5" ht="26.25">
      <c r="A32" s="12" t="s">
        <v>39</v>
      </c>
      <c r="B32" s="147" t="s">
        <v>40</v>
      </c>
      <c r="C32" s="14">
        <v>2500</v>
      </c>
      <c r="D32" s="11">
        <v>0</v>
      </c>
      <c r="E32" s="14">
        <f t="shared" si="0"/>
        <v>2500</v>
      </c>
    </row>
    <row r="33" spans="1:5" ht="15">
      <c r="A33" s="12" t="s">
        <v>41</v>
      </c>
      <c r="B33" s="147" t="s">
        <v>42</v>
      </c>
      <c r="C33" s="14">
        <v>4000</v>
      </c>
      <c r="D33" s="11">
        <v>0</v>
      </c>
      <c r="E33" s="14">
        <f t="shared" si="0"/>
        <v>4000</v>
      </c>
    </row>
    <row r="34" spans="1:5" ht="28.5" customHeight="1">
      <c r="A34" s="12" t="s">
        <v>43</v>
      </c>
      <c r="B34" s="147" t="s">
        <v>44</v>
      </c>
      <c r="C34" s="14">
        <v>10000</v>
      </c>
      <c r="D34" s="14">
        <v>0</v>
      </c>
      <c r="E34" s="14">
        <f t="shared" si="0"/>
        <v>10000</v>
      </c>
    </row>
    <row r="35" spans="1:5" ht="26.25">
      <c r="A35" s="12" t="s">
        <v>45</v>
      </c>
      <c r="B35" s="147" t="s">
        <v>46</v>
      </c>
      <c r="C35" s="14">
        <v>15000</v>
      </c>
      <c r="D35" s="14">
        <v>0</v>
      </c>
      <c r="E35" s="14">
        <f t="shared" si="0"/>
        <v>15000</v>
      </c>
    </row>
    <row r="36" spans="1:5" ht="15">
      <c r="A36" s="12" t="s">
        <v>47</v>
      </c>
      <c r="B36" s="147" t="s">
        <v>48</v>
      </c>
      <c r="C36" s="14">
        <v>4000</v>
      </c>
      <c r="D36" s="14">
        <v>0</v>
      </c>
      <c r="E36" s="14">
        <f t="shared" si="0"/>
        <v>4000</v>
      </c>
    </row>
    <row r="37" spans="1:5" ht="15">
      <c r="A37" s="6" t="s">
        <v>49</v>
      </c>
      <c r="B37" s="7" t="s">
        <v>50</v>
      </c>
      <c r="C37" s="8">
        <f>C38</f>
        <v>170000</v>
      </c>
      <c r="D37" s="8">
        <f>D38</f>
        <v>0</v>
      </c>
      <c r="E37" s="8">
        <f>E38</f>
        <v>170000</v>
      </c>
    </row>
    <row r="38" spans="1:5" ht="15">
      <c r="A38" s="148" t="s">
        <v>51</v>
      </c>
      <c r="B38" s="7" t="s">
        <v>52</v>
      </c>
      <c r="C38" s="8">
        <f>SUM(C39:C40)</f>
        <v>170000</v>
      </c>
      <c r="D38" s="8">
        <f>SUM(D39:D40)</f>
        <v>0</v>
      </c>
      <c r="E38" s="8">
        <f>SUM(E39:E40)</f>
        <v>170000</v>
      </c>
    </row>
    <row r="39" spans="1:5" ht="15">
      <c r="A39" s="12" t="s">
        <v>53</v>
      </c>
      <c r="B39" s="13" t="s">
        <v>54</v>
      </c>
      <c r="C39" s="14">
        <v>47000</v>
      </c>
      <c r="D39" s="14">
        <v>0</v>
      </c>
      <c r="E39" s="14">
        <f>C39+D39</f>
        <v>47000</v>
      </c>
    </row>
    <row r="40" spans="1:5" ht="24.75" customHeight="1">
      <c r="A40" s="12" t="s">
        <v>55</v>
      </c>
      <c r="B40" s="13" t="s">
        <v>56</v>
      </c>
      <c r="C40" s="14">
        <v>123000</v>
      </c>
      <c r="D40" s="14">
        <v>0</v>
      </c>
      <c r="E40" s="14">
        <f>C40+D40</f>
        <v>123000</v>
      </c>
    </row>
    <row r="41" spans="1:5" ht="15">
      <c r="A41" s="15" t="s">
        <v>57</v>
      </c>
      <c r="B41" s="16" t="s">
        <v>58</v>
      </c>
      <c r="C41" s="17">
        <f>C42+C44</f>
        <v>321000</v>
      </c>
      <c r="D41" s="17">
        <f>D42+D44</f>
        <v>-113811</v>
      </c>
      <c r="E41" s="17">
        <f>E42+E44</f>
        <v>207189</v>
      </c>
    </row>
    <row r="42" spans="1:5" ht="38.25">
      <c r="A42" s="149" t="s">
        <v>59</v>
      </c>
      <c r="B42" s="16" t="s">
        <v>60</v>
      </c>
      <c r="C42" s="17">
        <f>C43</f>
        <v>71000</v>
      </c>
      <c r="D42" s="17">
        <f>D43</f>
        <v>0</v>
      </c>
      <c r="E42" s="17">
        <f>E43</f>
        <v>71000</v>
      </c>
    </row>
    <row r="43" spans="1:5" ht="25.5">
      <c r="A43" s="9" t="s">
        <v>1085</v>
      </c>
      <c r="B43" s="10" t="s">
        <v>1086</v>
      </c>
      <c r="C43" s="11">
        <v>71000</v>
      </c>
      <c r="D43" s="11">
        <v>0</v>
      </c>
      <c r="E43" s="11">
        <f>C43+D43</f>
        <v>71000</v>
      </c>
    </row>
    <row r="44" spans="1:5" ht="15">
      <c r="A44" s="149" t="s">
        <v>61</v>
      </c>
      <c r="B44" s="16" t="s">
        <v>62</v>
      </c>
      <c r="C44" s="17">
        <f>C47+C45+C46</f>
        <v>250000</v>
      </c>
      <c r="D44" s="17">
        <f>D47+D45+D46</f>
        <v>-113811</v>
      </c>
      <c r="E44" s="17">
        <f>E47+E45+E46</f>
        <v>136189</v>
      </c>
    </row>
    <row r="45" spans="1:5" ht="15.75" customHeight="1">
      <c r="A45" s="9" t="s">
        <v>63</v>
      </c>
      <c r="B45" s="10" t="s">
        <v>64</v>
      </c>
      <c r="C45" s="11">
        <v>0</v>
      </c>
      <c r="D45" s="11"/>
      <c r="E45" s="11">
        <f>C45+D45</f>
        <v>0</v>
      </c>
    </row>
    <row r="46" spans="1:5" ht="25.5">
      <c r="A46" s="9" t="s">
        <v>65</v>
      </c>
      <c r="B46" s="10" t="s">
        <v>66</v>
      </c>
      <c r="C46" s="11">
        <v>250000</v>
      </c>
      <c r="D46" s="11">
        <v>-113811</v>
      </c>
      <c r="E46" s="11">
        <f>C46+D46</f>
        <v>136189</v>
      </c>
    </row>
    <row r="47" spans="1:5" ht="31.5" customHeight="1">
      <c r="A47" s="9" t="s">
        <v>67</v>
      </c>
      <c r="B47" s="10" t="s">
        <v>68</v>
      </c>
      <c r="C47" s="11">
        <v>0</v>
      </c>
      <c r="D47" s="11">
        <v>0</v>
      </c>
      <c r="E47" s="11">
        <f>C47+D47</f>
        <v>0</v>
      </c>
    </row>
    <row r="48" spans="1:5" ht="42.75" customHeight="1">
      <c r="A48" s="6" t="s">
        <v>69</v>
      </c>
      <c r="B48" s="7" t="s">
        <v>70</v>
      </c>
      <c r="C48" s="8">
        <f>SUM(C49:C51)</f>
        <v>229898</v>
      </c>
      <c r="D48" s="8">
        <f>SUM(D49:D51)</f>
        <v>0</v>
      </c>
      <c r="E48" s="8">
        <f>SUM(E49:E51)</f>
        <v>229898</v>
      </c>
    </row>
    <row r="49" spans="1:5" ht="15" customHeight="1">
      <c r="A49" s="12" t="s">
        <v>71</v>
      </c>
      <c r="B49" s="13" t="s">
        <v>72</v>
      </c>
      <c r="C49" s="14">
        <v>106920</v>
      </c>
      <c r="D49" s="14">
        <v>0</v>
      </c>
      <c r="E49" s="14">
        <f>C49+D49</f>
        <v>106920</v>
      </c>
    </row>
    <row r="50" spans="1:5" ht="15">
      <c r="A50" s="12" t="s">
        <v>73</v>
      </c>
      <c r="B50" s="13" t="s">
        <v>74</v>
      </c>
      <c r="C50" s="14">
        <v>122978</v>
      </c>
      <c r="D50" s="14">
        <v>0</v>
      </c>
      <c r="E50" s="14">
        <f>C50+D50</f>
        <v>122978</v>
      </c>
    </row>
    <row r="51" spans="1:5" ht="30" customHeight="1">
      <c r="A51" s="9" t="s">
        <v>75</v>
      </c>
      <c r="B51" s="10" t="s">
        <v>76</v>
      </c>
      <c r="C51" s="11">
        <v>0</v>
      </c>
      <c r="D51" s="11">
        <v>0</v>
      </c>
      <c r="E51" s="11">
        <f>C51+D51</f>
        <v>0</v>
      </c>
    </row>
    <row r="52" spans="1:5" ht="15">
      <c r="A52" s="150"/>
      <c r="B52" s="4" t="s">
        <v>77</v>
      </c>
      <c r="C52" s="160">
        <f>C55+C60+C53</f>
        <v>36342824</v>
      </c>
      <c r="D52" s="160">
        <f>D55+D60+D53</f>
        <v>1484944</v>
      </c>
      <c r="E52" s="160">
        <f>E55+E60+E53</f>
        <v>37827768</v>
      </c>
    </row>
    <row r="53" spans="1:5" s="49" customFormat="1" ht="26.25" customHeight="1" hidden="1">
      <c r="A53" s="208" t="s">
        <v>78</v>
      </c>
      <c r="B53" s="209" t="s">
        <v>79</v>
      </c>
      <c r="C53" s="210">
        <f>C54</f>
        <v>0</v>
      </c>
      <c r="D53" s="211">
        <f>D54</f>
        <v>0</v>
      </c>
      <c r="E53" s="211">
        <f>E54</f>
        <v>0</v>
      </c>
    </row>
    <row r="54" spans="1:5" s="49" customFormat="1" ht="39" customHeight="1" hidden="1">
      <c r="A54" s="212" t="s">
        <v>80</v>
      </c>
      <c r="B54" s="213" t="s">
        <v>81</v>
      </c>
      <c r="C54" s="214">
        <v>0</v>
      </c>
      <c r="D54" s="215">
        <v>0</v>
      </c>
      <c r="E54" s="215">
        <f>C54+D54</f>
        <v>0</v>
      </c>
    </row>
    <row r="55" spans="1:5" ht="15">
      <c r="A55" s="6" t="s">
        <v>82</v>
      </c>
      <c r="B55" s="7" t="s">
        <v>83</v>
      </c>
      <c r="C55" s="8">
        <f>C56</f>
        <v>35272253</v>
      </c>
      <c r="D55" s="8">
        <f>D56</f>
        <v>1484944</v>
      </c>
      <c r="E55" s="8">
        <f>E56</f>
        <v>36757197</v>
      </c>
    </row>
    <row r="56" spans="1:5" ht="15">
      <c r="A56" s="148" t="s">
        <v>84</v>
      </c>
      <c r="B56" s="7" t="s">
        <v>85</v>
      </c>
      <c r="C56" s="8">
        <f>SUM(C57:C59)</f>
        <v>35272253</v>
      </c>
      <c r="D56" s="17">
        <f>SUM(D57:D59)</f>
        <v>1484944</v>
      </c>
      <c r="E56" s="8">
        <f>SUM(E57:E59)</f>
        <v>36757197</v>
      </c>
    </row>
    <row r="57" spans="1:5" ht="15">
      <c r="A57" s="12" t="s">
        <v>86</v>
      </c>
      <c r="B57" s="13" t="s">
        <v>87</v>
      </c>
      <c r="C57" s="14">
        <v>28699730</v>
      </c>
      <c r="D57" s="11">
        <v>1029644</v>
      </c>
      <c r="E57" s="14">
        <f>C57+D57</f>
        <v>29729374</v>
      </c>
    </row>
    <row r="58" spans="1:5" ht="65.25" customHeight="1">
      <c r="A58" s="12" t="s">
        <v>88</v>
      </c>
      <c r="B58" s="13" t="s">
        <v>89</v>
      </c>
      <c r="C58" s="14">
        <v>1452945</v>
      </c>
      <c r="D58" s="11">
        <v>455300</v>
      </c>
      <c r="E58" s="14">
        <f>C58+D58</f>
        <v>1908245</v>
      </c>
    </row>
    <row r="59" spans="1:5" ht="27.75" customHeight="1">
      <c r="A59" s="12" t="s">
        <v>90</v>
      </c>
      <c r="B59" s="13" t="s">
        <v>91</v>
      </c>
      <c r="C59" s="14">
        <v>5119578</v>
      </c>
      <c r="D59" s="11">
        <v>0</v>
      </c>
      <c r="E59" s="14">
        <f>C59+D59</f>
        <v>5119578</v>
      </c>
    </row>
    <row r="60" spans="1:5" ht="15">
      <c r="A60" s="6" t="s">
        <v>92</v>
      </c>
      <c r="B60" s="7" t="s">
        <v>93</v>
      </c>
      <c r="C60" s="8">
        <f>C61</f>
        <v>1070571</v>
      </c>
      <c r="D60" s="17">
        <f>D61</f>
        <v>0</v>
      </c>
      <c r="E60" s="8">
        <f>E61</f>
        <v>1070571</v>
      </c>
    </row>
    <row r="61" spans="1:5" ht="25.5">
      <c r="A61" s="12" t="s">
        <v>94</v>
      </c>
      <c r="B61" s="13" t="s">
        <v>95</v>
      </c>
      <c r="C61" s="14">
        <v>1070571</v>
      </c>
      <c r="D61" s="11">
        <v>0</v>
      </c>
      <c r="E61" s="14">
        <f>C61+D61</f>
        <v>1070571</v>
      </c>
    </row>
    <row r="62" spans="1:5" ht="28.5">
      <c r="A62" s="146"/>
      <c r="B62" s="4" t="s">
        <v>96</v>
      </c>
      <c r="C62" s="5">
        <f>C63</f>
        <v>2306034</v>
      </c>
      <c r="D62" s="191">
        <f>D63</f>
        <v>24879</v>
      </c>
      <c r="E62" s="5">
        <f>E63</f>
        <v>2330913</v>
      </c>
    </row>
    <row r="63" spans="1:5" ht="15">
      <c r="A63" s="6" t="s">
        <v>97</v>
      </c>
      <c r="B63" s="7" t="s">
        <v>98</v>
      </c>
      <c r="C63" s="8">
        <f>C64+C69+C87</f>
        <v>2306034</v>
      </c>
      <c r="D63" s="8">
        <f>D64+D69+D87</f>
        <v>24879</v>
      </c>
      <c r="E63" s="8">
        <f>E64+E69+E87</f>
        <v>2330913</v>
      </c>
    </row>
    <row r="64" spans="1:5" ht="15" customHeight="1">
      <c r="A64" s="149" t="s">
        <v>99</v>
      </c>
      <c r="B64" s="16" t="s">
        <v>100</v>
      </c>
      <c r="C64" s="17">
        <f>C65+C68+C66+C67</f>
        <v>45859</v>
      </c>
      <c r="D64" s="17">
        <f>D65+D68+D66+D67</f>
        <v>0</v>
      </c>
      <c r="E64" s="17">
        <f>E65+E68+E66+E67</f>
        <v>45859</v>
      </c>
    </row>
    <row r="65" spans="1:5" ht="25.5" hidden="1">
      <c r="A65" s="151" t="s">
        <v>101</v>
      </c>
      <c r="B65" s="18" t="s">
        <v>425</v>
      </c>
      <c r="C65" s="19">
        <v>0</v>
      </c>
      <c r="D65" s="192">
        <v>0</v>
      </c>
      <c r="E65" s="19">
        <f>C65+D65</f>
        <v>0</v>
      </c>
    </row>
    <row r="66" spans="1:5" ht="64.5" hidden="1">
      <c r="A66" s="152" t="s">
        <v>102</v>
      </c>
      <c r="B66" s="153" t="s">
        <v>426</v>
      </c>
      <c r="C66" s="19">
        <v>0</v>
      </c>
      <c r="D66" s="192">
        <v>0</v>
      </c>
      <c r="E66" s="19">
        <f>C66+D66</f>
        <v>0</v>
      </c>
    </row>
    <row r="67" spans="1:5" ht="77.25" hidden="1">
      <c r="A67" s="152" t="s">
        <v>449</v>
      </c>
      <c r="B67" s="153" t="s">
        <v>450</v>
      </c>
      <c r="C67" s="19">
        <v>0</v>
      </c>
      <c r="D67" s="192">
        <v>0</v>
      </c>
      <c r="E67" s="19">
        <f>C67+D67</f>
        <v>0</v>
      </c>
    </row>
    <row r="68" spans="1:5" ht="38.25">
      <c r="A68" s="9" t="s">
        <v>103</v>
      </c>
      <c r="B68" s="10" t="s">
        <v>104</v>
      </c>
      <c r="C68" s="11">
        <v>45859</v>
      </c>
      <c r="D68" s="11">
        <v>0</v>
      </c>
      <c r="E68" s="11">
        <f>C68+D68</f>
        <v>45859</v>
      </c>
    </row>
    <row r="69" spans="1:5" ht="25.5">
      <c r="A69" s="148" t="s">
        <v>105</v>
      </c>
      <c r="B69" s="7" t="s">
        <v>106</v>
      </c>
      <c r="C69" s="17">
        <f>C70+C71+C74+C76+C81</f>
        <v>2135407</v>
      </c>
      <c r="D69" s="17">
        <f>D70+D71+D74+D76+D81</f>
        <v>133</v>
      </c>
      <c r="E69" s="17">
        <f>E70+E71+E74+E76+E81</f>
        <v>2135540</v>
      </c>
    </row>
    <row r="70" spans="1:5" ht="42" customHeight="1" hidden="1">
      <c r="A70" s="151" t="s">
        <v>107</v>
      </c>
      <c r="B70" s="18" t="s">
        <v>108</v>
      </c>
      <c r="C70" s="19">
        <v>0</v>
      </c>
      <c r="D70" s="192">
        <v>0</v>
      </c>
      <c r="E70" s="19">
        <f>C70+D70</f>
        <v>0</v>
      </c>
    </row>
    <row r="71" spans="1:5" ht="15">
      <c r="A71" s="148" t="s">
        <v>109</v>
      </c>
      <c r="B71" s="154" t="s">
        <v>110</v>
      </c>
      <c r="C71" s="8">
        <f>SUM(C72:C73)</f>
        <v>369863</v>
      </c>
      <c r="D71" s="8">
        <f>SUM(D72:D73)</f>
        <v>0</v>
      </c>
      <c r="E71" s="8">
        <f>SUM(E72:E73)</f>
        <v>369863</v>
      </c>
    </row>
    <row r="72" spans="1:5" ht="15">
      <c r="A72" s="12" t="s">
        <v>111</v>
      </c>
      <c r="B72" s="13" t="s">
        <v>112</v>
      </c>
      <c r="C72" s="14">
        <v>140910</v>
      </c>
      <c r="D72" s="11">
        <v>0</v>
      </c>
      <c r="E72" s="14">
        <f>C72+D72</f>
        <v>140910</v>
      </c>
    </row>
    <row r="73" spans="1:5" ht="15">
      <c r="A73" s="12" t="s">
        <v>113</v>
      </c>
      <c r="B73" s="13" t="s">
        <v>114</v>
      </c>
      <c r="C73" s="14">
        <v>228953</v>
      </c>
      <c r="D73" s="11">
        <v>0</v>
      </c>
      <c r="E73" s="14">
        <f>C73+D73</f>
        <v>228953</v>
      </c>
    </row>
    <row r="74" spans="1:5" ht="25.5">
      <c r="A74" s="148" t="s">
        <v>115</v>
      </c>
      <c r="B74" s="154" t="s">
        <v>116</v>
      </c>
      <c r="C74" s="8">
        <f>C75</f>
        <v>290</v>
      </c>
      <c r="D74" s="8">
        <f>D75</f>
        <v>0</v>
      </c>
      <c r="E74" s="8">
        <f>E75</f>
        <v>290</v>
      </c>
    </row>
    <row r="75" spans="1:5" ht="25.5">
      <c r="A75" s="12" t="s">
        <v>117</v>
      </c>
      <c r="B75" s="13" t="s">
        <v>118</v>
      </c>
      <c r="C75" s="14">
        <v>290</v>
      </c>
      <c r="D75" s="11">
        <v>0</v>
      </c>
      <c r="E75" s="14">
        <f>C75+D75</f>
        <v>290</v>
      </c>
    </row>
    <row r="76" spans="1:5" ht="15">
      <c r="A76" s="148" t="s">
        <v>119</v>
      </c>
      <c r="B76" s="154" t="s">
        <v>120</v>
      </c>
      <c r="C76" s="8">
        <f>SUM(C77:C80)</f>
        <v>781562</v>
      </c>
      <c r="D76" s="8">
        <f>SUM(D77:D80)</f>
        <v>0</v>
      </c>
      <c r="E76" s="8">
        <f>SUM(E77:E80)</f>
        <v>781562</v>
      </c>
    </row>
    <row r="77" spans="1:5" ht="25.5">
      <c r="A77" s="12" t="s">
        <v>451</v>
      </c>
      <c r="B77" s="13" t="s">
        <v>427</v>
      </c>
      <c r="C77" s="14">
        <v>509282</v>
      </c>
      <c r="D77" s="11">
        <v>-4817</v>
      </c>
      <c r="E77" s="14">
        <f>C77+D77</f>
        <v>504465</v>
      </c>
    </row>
    <row r="78" spans="1:5" ht="15">
      <c r="A78" s="12" t="s">
        <v>121</v>
      </c>
      <c r="B78" s="13" t="s">
        <v>122</v>
      </c>
      <c r="C78" s="14">
        <v>62900</v>
      </c>
      <c r="D78" s="11">
        <v>4817</v>
      </c>
      <c r="E78" s="14">
        <f>C78+D78</f>
        <v>67717</v>
      </c>
    </row>
    <row r="79" spans="1:5" ht="15">
      <c r="A79" s="12" t="s">
        <v>123</v>
      </c>
      <c r="B79" s="13" t="s">
        <v>124</v>
      </c>
      <c r="C79" s="14">
        <v>117954</v>
      </c>
      <c r="D79" s="11">
        <v>0</v>
      </c>
      <c r="E79" s="14">
        <f>C79+D79</f>
        <v>117954</v>
      </c>
    </row>
    <row r="80" spans="1:5" ht="15">
      <c r="A80" s="12" t="s">
        <v>125</v>
      </c>
      <c r="B80" s="13" t="s">
        <v>126</v>
      </c>
      <c r="C80" s="14">
        <v>91426</v>
      </c>
      <c r="D80" s="11">
        <v>0</v>
      </c>
      <c r="E80" s="14">
        <f>C80+D80</f>
        <v>91426</v>
      </c>
    </row>
    <row r="81" spans="1:5" ht="25.5">
      <c r="A81" s="148" t="s">
        <v>127</v>
      </c>
      <c r="B81" s="154" t="s">
        <v>128</v>
      </c>
      <c r="C81" s="8">
        <f>SUM(C82:C86)</f>
        <v>983692</v>
      </c>
      <c r="D81" s="8">
        <f>SUM(D82:D86)</f>
        <v>133</v>
      </c>
      <c r="E81" s="8">
        <f>SUM(E82:E86)</f>
        <v>983825</v>
      </c>
    </row>
    <row r="82" spans="1:5" ht="25.5">
      <c r="A82" s="12" t="s">
        <v>129</v>
      </c>
      <c r="B82" s="13" t="s">
        <v>130</v>
      </c>
      <c r="C82" s="14">
        <v>23860</v>
      </c>
      <c r="D82" s="11">
        <v>0</v>
      </c>
      <c r="E82" s="14">
        <f>C82+D82</f>
        <v>23860</v>
      </c>
    </row>
    <row r="83" spans="1:5" ht="15">
      <c r="A83" s="12" t="s">
        <v>131</v>
      </c>
      <c r="B83" s="13" t="s">
        <v>132</v>
      </c>
      <c r="C83" s="14">
        <v>566290</v>
      </c>
      <c r="D83" s="11">
        <v>0</v>
      </c>
      <c r="E83" s="14">
        <f>C83+D83</f>
        <v>566290</v>
      </c>
    </row>
    <row r="84" spans="1:5" ht="15">
      <c r="A84" s="12" t="s">
        <v>133</v>
      </c>
      <c r="B84" s="13" t="s">
        <v>134</v>
      </c>
      <c r="C84" s="14">
        <v>6420</v>
      </c>
      <c r="D84" s="11">
        <v>133</v>
      </c>
      <c r="E84" s="14">
        <f>C84+D84</f>
        <v>6553</v>
      </c>
    </row>
    <row r="85" spans="1:5" ht="51" hidden="1">
      <c r="A85" s="151" t="s">
        <v>758</v>
      </c>
      <c r="B85" s="18" t="s">
        <v>759</v>
      </c>
      <c r="C85" s="19">
        <v>0</v>
      </c>
      <c r="D85" s="192">
        <v>0</v>
      </c>
      <c r="E85" s="19">
        <f>C85+D85</f>
        <v>0</v>
      </c>
    </row>
    <row r="86" spans="1:5" ht="15">
      <c r="A86" s="12" t="s">
        <v>135</v>
      </c>
      <c r="B86" s="13" t="s">
        <v>136</v>
      </c>
      <c r="C86" s="14">
        <v>387122</v>
      </c>
      <c r="D86" s="11">
        <v>0</v>
      </c>
      <c r="E86" s="14">
        <f>C86+D86</f>
        <v>387122</v>
      </c>
    </row>
    <row r="87" spans="1:5" ht="42" customHeight="1">
      <c r="A87" s="148" t="s">
        <v>137</v>
      </c>
      <c r="B87" s="7" t="s">
        <v>138</v>
      </c>
      <c r="C87" s="8">
        <f>C88+C90+C89</f>
        <v>124768</v>
      </c>
      <c r="D87" s="8">
        <f>D88+D90+D89</f>
        <v>24746</v>
      </c>
      <c r="E87" s="8">
        <f>E88+E90+E89</f>
        <v>149514</v>
      </c>
    </row>
    <row r="88" spans="1:5" ht="15">
      <c r="A88" s="9" t="s">
        <v>447</v>
      </c>
      <c r="B88" s="10" t="s">
        <v>448</v>
      </c>
      <c r="C88" s="11">
        <v>30000</v>
      </c>
      <c r="D88" s="11">
        <v>0</v>
      </c>
      <c r="E88" s="11">
        <f>C88+D88</f>
        <v>30000</v>
      </c>
    </row>
    <row r="89" spans="1:5" s="49" customFormat="1" ht="25.5">
      <c r="A89" s="9" t="s">
        <v>474</v>
      </c>
      <c r="B89" s="10" t="s">
        <v>475</v>
      </c>
      <c r="C89" s="11">
        <v>0</v>
      </c>
      <c r="D89" s="11">
        <v>4371</v>
      </c>
      <c r="E89" s="11">
        <f>C89+D89</f>
        <v>4371</v>
      </c>
    </row>
    <row r="90" spans="1:5" ht="15">
      <c r="A90" s="12" t="s">
        <v>428</v>
      </c>
      <c r="B90" s="13" t="s">
        <v>429</v>
      </c>
      <c r="C90" s="14">
        <v>94768</v>
      </c>
      <c r="D90" s="11">
        <v>20375</v>
      </c>
      <c r="E90" s="14">
        <f>C90+D90</f>
        <v>115143</v>
      </c>
    </row>
    <row r="91" spans="1:5" ht="15.75">
      <c r="A91" s="144"/>
      <c r="B91" s="145" t="s">
        <v>139</v>
      </c>
      <c r="C91" s="159">
        <f>C92+C93</f>
        <v>22717112</v>
      </c>
      <c r="D91" s="159">
        <f>D92+D93</f>
        <v>198390</v>
      </c>
      <c r="E91" s="159">
        <f>E92+E93</f>
        <v>22915502</v>
      </c>
    </row>
    <row r="92" spans="1:5" ht="15">
      <c r="A92" s="23" t="s">
        <v>140</v>
      </c>
      <c r="B92" s="155" t="s">
        <v>141</v>
      </c>
      <c r="C92" s="14">
        <v>11420939</v>
      </c>
      <c r="D92" s="14">
        <v>0</v>
      </c>
      <c r="E92" s="14">
        <f>C92+D92</f>
        <v>11420939</v>
      </c>
    </row>
    <row r="93" spans="1:5" ht="15">
      <c r="A93" s="23" t="s">
        <v>142</v>
      </c>
      <c r="B93" s="155" t="s">
        <v>143</v>
      </c>
      <c r="C93" s="14">
        <v>11296173</v>
      </c>
      <c r="D93" s="11">
        <v>198390</v>
      </c>
      <c r="E93" s="14">
        <f>C93+D93</f>
        <v>11494563</v>
      </c>
    </row>
    <row r="94" spans="1:5" ht="15.75">
      <c r="A94" s="156"/>
      <c r="B94" s="145" t="s">
        <v>144</v>
      </c>
      <c r="C94" s="159">
        <f>C9+C91</f>
        <v>120086655</v>
      </c>
      <c r="D94" s="159">
        <f>D9+D91</f>
        <v>1674402</v>
      </c>
      <c r="E94" s="159">
        <f>E9+E91</f>
        <v>121761057</v>
      </c>
    </row>
    <row r="95" spans="3:5" ht="15">
      <c r="C95" s="2"/>
      <c r="D95" s="2"/>
      <c r="E95" s="161"/>
    </row>
    <row r="96" spans="3:5" ht="15">
      <c r="C96" s="161"/>
      <c r="D96" s="2"/>
      <c r="E96" s="2"/>
    </row>
    <row r="97" spans="1:5" ht="18.75">
      <c r="A97" s="157" t="s">
        <v>145</v>
      </c>
      <c r="B97" s="158"/>
      <c r="C97" s="53"/>
      <c r="D97" s="53"/>
      <c r="E97" s="53" t="s">
        <v>146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9 E44 E48 E54 E60:E61 E69 E71 E74 E76 E81 E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482" t="s">
        <v>147</v>
      </c>
      <c r="H1" s="482"/>
      <c r="J1" s="47"/>
    </row>
    <row r="2" spans="6:10" ht="15">
      <c r="F2" s="482" t="s">
        <v>1087</v>
      </c>
      <c r="G2" s="482"/>
      <c r="H2" s="482"/>
      <c r="I2" s="50"/>
      <c r="J2" s="47"/>
    </row>
    <row r="3" spans="6:10" ht="15">
      <c r="F3" s="2"/>
      <c r="G3" s="2"/>
      <c r="H3" s="139" t="s">
        <v>1088</v>
      </c>
      <c r="I3" s="51"/>
      <c r="J3" s="51"/>
    </row>
    <row r="5" spans="1:8" ht="18.75">
      <c r="A5" s="483" t="s">
        <v>914</v>
      </c>
      <c r="B5" s="483"/>
      <c r="C5" s="483"/>
      <c r="D5" s="483"/>
      <c r="E5" s="483"/>
      <c r="F5" s="483"/>
      <c r="G5" s="483"/>
      <c r="H5" s="483"/>
    </row>
    <row r="6" spans="1:8" ht="15">
      <c r="A6" s="484" t="s">
        <v>148</v>
      </c>
      <c r="B6" s="484"/>
      <c r="C6" s="484"/>
      <c r="D6" s="484"/>
      <c r="E6" s="484"/>
      <c r="F6" s="484"/>
      <c r="G6" s="484"/>
      <c r="H6" s="484"/>
    </row>
    <row r="7" ht="15">
      <c r="H7" s="73"/>
    </row>
    <row r="8" spans="1:8" s="52" customFormat="1" ht="15" customHeight="1">
      <c r="A8" s="485" t="s">
        <v>2</v>
      </c>
      <c r="B8" s="485" t="s">
        <v>149</v>
      </c>
      <c r="C8" s="485" t="s">
        <v>913</v>
      </c>
      <c r="D8" s="486" t="s">
        <v>485</v>
      </c>
      <c r="E8" s="486"/>
      <c r="F8" s="486"/>
      <c r="G8" s="486"/>
      <c r="H8" s="485" t="str">
        <f>'1.pielikums'!E8</f>
        <v>Precizētais plāns uz 23.05.2024, EUR</v>
      </c>
    </row>
    <row r="9" spans="1:8" s="52" customFormat="1" ht="42.75">
      <c r="A9" s="485"/>
      <c r="B9" s="485"/>
      <c r="C9" s="485"/>
      <c r="D9" s="119" t="s">
        <v>150</v>
      </c>
      <c r="E9" s="119" t="s">
        <v>151</v>
      </c>
      <c r="F9" s="119" t="s">
        <v>83</v>
      </c>
      <c r="G9" s="119" t="s">
        <v>152</v>
      </c>
      <c r="H9" s="485"/>
    </row>
    <row r="10" spans="1:8" ht="37.5">
      <c r="A10" s="24"/>
      <c r="B10" s="25" t="s">
        <v>153</v>
      </c>
      <c r="C10" s="26">
        <f>SUM(C11:C19)</f>
        <v>115042273</v>
      </c>
      <c r="D10" s="26">
        <f>SUM(D11:D19)</f>
        <v>105783</v>
      </c>
      <c r="E10" s="26">
        <f>SUM(E11:E19)</f>
        <v>-8932</v>
      </c>
      <c r="F10" s="26">
        <f>SUM(F11:F19)</f>
        <v>1327061</v>
      </c>
      <c r="G10" s="26">
        <f>SUM(G11:G19)</f>
        <v>0</v>
      </c>
      <c r="H10" s="26">
        <f>C10+D10+E10+F10+G10</f>
        <v>116466185</v>
      </c>
    </row>
    <row r="11" spans="1:8" ht="15">
      <c r="A11" s="27" t="s">
        <v>154</v>
      </c>
      <c r="B11" s="28" t="s">
        <v>155</v>
      </c>
      <c r="C11" s="29">
        <v>14331579</v>
      </c>
      <c r="D11" s="120">
        <f>'3.pielikums'!E12</f>
        <v>-89074</v>
      </c>
      <c r="E11" s="120">
        <f>'3.pielikums'!G12</f>
        <v>-33811</v>
      </c>
      <c r="F11" s="120">
        <f>'3.pielikums'!I12</f>
        <v>93744</v>
      </c>
      <c r="G11" s="120">
        <f>'3.pielikums'!K12</f>
        <v>0</v>
      </c>
      <c r="H11" s="121">
        <f aca="true" t="shared" si="0" ref="H11:H29">C11+D11+E11+F11+G11</f>
        <v>14302438</v>
      </c>
    </row>
    <row r="12" spans="1:8" ht="15">
      <c r="A12" s="27" t="s">
        <v>156</v>
      </c>
      <c r="B12" s="28" t="s">
        <v>157</v>
      </c>
      <c r="C12" s="29">
        <v>4577917</v>
      </c>
      <c r="D12" s="120">
        <f>'3.pielikums'!E35</f>
        <v>0</v>
      </c>
      <c r="E12" s="120">
        <f>'3.pielikums'!G35</f>
        <v>0</v>
      </c>
      <c r="F12" s="120">
        <f>'3.pielikums'!I35</f>
        <v>0</v>
      </c>
      <c r="G12" s="120">
        <f>'3.pielikums'!K35</f>
        <v>0</v>
      </c>
      <c r="H12" s="121">
        <f t="shared" si="0"/>
        <v>4577917</v>
      </c>
    </row>
    <row r="13" spans="1:8" ht="15">
      <c r="A13" s="27" t="s">
        <v>158</v>
      </c>
      <c r="B13" s="28" t="s">
        <v>159</v>
      </c>
      <c r="C13" s="29">
        <v>16098109</v>
      </c>
      <c r="D13" s="120">
        <f>'3.pielikums'!E42</f>
        <v>256960</v>
      </c>
      <c r="E13" s="120">
        <f>'3.pielikums'!G42</f>
        <v>0</v>
      </c>
      <c r="F13" s="120">
        <f>'3.pielikums'!I42</f>
        <v>700000</v>
      </c>
      <c r="G13" s="120">
        <f>'3.pielikums'!K42</f>
        <v>0</v>
      </c>
      <c r="H13" s="121">
        <f t="shared" si="0"/>
        <v>17055069</v>
      </c>
    </row>
    <row r="14" spans="1:8" ht="15">
      <c r="A14" s="27" t="s">
        <v>160</v>
      </c>
      <c r="B14" s="28" t="s">
        <v>161</v>
      </c>
      <c r="C14" s="29">
        <f>2949351+1000</f>
        <v>2950351</v>
      </c>
      <c r="D14" s="120">
        <f>'3.pielikums'!E67</f>
        <v>0</v>
      </c>
      <c r="E14" s="120">
        <f>'3.pielikums'!G67</f>
        <v>0</v>
      </c>
      <c r="F14" s="120">
        <f>'3.pielikums'!I67</f>
        <v>0</v>
      </c>
      <c r="G14" s="120">
        <f>'3.pielikums'!K67</f>
        <v>0</v>
      </c>
      <c r="H14" s="121">
        <f t="shared" si="0"/>
        <v>2950351</v>
      </c>
    </row>
    <row r="15" spans="1:8" ht="15">
      <c r="A15" s="27" t="s">
        <v>162</v>
      </c>
      <c r="B15" s="28" t="s">
        <v>163</v>
      </c>
      <c r="C15" s="29">
        <f>5263438-1000</f>
        <v>5262438</v>
      </c>
      <c r="D15" s="120">
        <f>'3.pielikums'!E82</f>
        <v>-46813</v>
      </c>
      <c r="E15" s="120">
        <f>'3.pielikums'!G82</f>
        <v>0</v>
      </c>
      <c r="F15" s="120">
        <f>'3.pielikums'!I82</f>
        <v>0</v>
      </c>
      <c r="G15" s="120">
        <f>'3.pielikums'!K82</f>
        <v>0</v>
      </c>
      <c r="H15" s="121">
        <f t="shared" si="0"/>
        <v>5215625</v>
      </c>
    </row>
    <row r="16" spans="1:8" ht="15">
      <c r="A16" s="27" t="s">
        <v>164</v>
      </c>
      <c r="B16" s="28" t="s">
        <v>165</v>
      </c>
      <c r="C16" s="29">
        <v>105768</v>
      </c>
      <c r="D16" s="120">
        <f>'3.pielikums'!E98</f>
        <v>0</v>
      </c>
      <c r="E16" s="120">
        <f>'3.pielikums'!G98</f>
        <v>0</v>
      </c>
      <c r="F16" s="120">
        <f>'3.pielikums'!I98</f>
        <v>0</v>
      </c>
      <c r="G16" s="120">
        <f>'3.pielikums'!K98</f>
        <v>0</v>
      </c>
      <c r="H16" s="121">
        <f t="shared" si="0"/>
        <v>105768</v>
      </c>
    </row>
    <row r="17" spans="1:8" ht="15">
      <c r="A17" s="27" t="s">
        <v>166</v>
      </c>
      <c r="B17" s="28" t="s">
        <v>167</v>
      </c>
      <c r="C17" s="29">
        <v>7586922</v>
      </c>
      <c r="D17" s="120">
        <f>'3.pielikums'!E105</f>
        <v>-3700</v>
      </c>
      <c r="E17" s="120">
        <f>'3.pielikums'!G105</f>
        <v>133</v>
      </c>
      <c r="F17" s="120">
        <f>'3.pielikums'!I105</f>
        <v>0</v>
      </c>
      <c r="G17" s="120">
        <f>'3.pielikums'!K105</f>
        <v>0</v>
      </c>
      <c r="H17" s="121">
        <f t="shared" si="0"/>
        <v>7583355</v>
      </c>
    </row>
    <row r="18" spans="1:8" ht="15">
      <c r="A18" s="27" t="s">
        <v>23</v>
      </c>
      <c r="B18" s="28" t="s">
        <v>168</v>
      </c>
      <c r="C18" s="29">
        <v>51471594</v>
      </c>
      <c r="D18" s="120">
        <f>'3.pielikums'!E135</f>
        <v>-11590</v>
      </c>
      <c r="E18" s="120">
        <f>'3.pielikums'!G135</f>
        <v>24746</v>
      </c>
      <c r="F18" s="120">
        <f>'3.pielikums'!I135</f>
        <v>517341</v>
      </c>
      <c r="G18" s="120">
        <f>'3.pielikums'!K135</f>
        <v>0</v>
      </c>
      <c r="H18" s="121">
        <f t="shared" si="0"/>
        <v>52002091</v>
      </c>
    </row>
    <row r="19" spans="1:8" ht="15">
      <c r="A19" s="27" t="s">
        <v>49</v>
      </c>
      <c r="B19" s="28" t="s">
        <v>169</v>
      </c>
      <c r="C19" s="29">
        <v>12657595</v>
      </c>
      <c r="D19" s="120">
        <f>'3.pielikums'!E184</f>
        <v>0</v>
      </c>
      <c r="E19" s="120">
        <f>'3.pielikums'!G184</f>
        <v>0</v>
      </c>
      <c r="F19" s="120">
        <f>'3.pielikums'!I184</f>
        <v>15976</v>
      </c>
      <c r="G19" s="120">
        <f>'3.pielikums'!K184</f>
        <v>0</v>
      </c>
      <c r="H19" s="121">
        <f t="shared" si="0"/>
        <v>12673571</v>
      </c>
    </row>
    <row r="20" spans="1:8" ht="18.75">
      <c r="A20" s="30"/>
      <c r="B20" s="31" t="s">
        <v>170</v>
      </c>
      <c r="C20" s="26">
        <f>C21+C22+C28</f>
        <v>5044382</v>
      </c>
      <c r="D20" s="26">
        <f>D21+D22+D28</f>
        <v>92607</v>
      </c>
      <c r="E20" s="26">
        <f>E21+E22+E28</f>
        <v>0</v>
      </c>
      <c r="F20" s="26">
        <f>F21+F22+F28</f>
        <v>157883</v>
      </c>
      <c r="G20" s="26">
        <f>G21+G22+G28</f>
        <v>0</v>
      </c>
      <c r="H20" s="26">
        <f t="shared" si="0"/>
        <v>5294872</v>
      </c>
    </row>
    <row r="21" spans="1:8" ht="15">
      <c r="A21" s="27" t="s">
        <v>171</v>
      </c>
      <c r="B21" s="27" t="s">
        <v>172</v>
      </c>
      <c r="C21" s="29">
        <v>4495164</v>
      </c>
      <c r="D21" s="120">
        <f>'3.pielikums'!E220</f>
        <v>134475</v>
      </c>
      <c r="E21" s="120">
        <f>'3.pielikums'!G220</f>
        <v>0</v>
      </c>
      <c r="F21" s="120">
        <f>'3.pielikums'!I220</f>
        <v>116015</v>
      </c>
      <c r="G21" s="120">
        <f>'3.pielikums'!K220</f>
        <v>0</v>
      </c>
      <c r="H21" s="121">
        <f t="shared" si="0"/>
        <v>4745654</v>
      </c>
    </row>
    <row r="22" spans="1:8" ht="15">
      <c r="A22" s="27" t="s">
        <v>173</v>
      </c>
      <c r="B22" s="32" t="s">
        <v>174</v>
      </c>
      <c r="C22" s="29">
        <f>SUM(C23:C27)</f>
        <v>389575</v>
      </c>
      <c r="D22" s="120">
        <f>'3.pielikums'!E221</f>
        <v>0</v>
      </c>
      <c r="E22" s="120">
        <f>'3.pielikums'!G221</f>
        <v>0</v>
      </c>
      <c r="F22" s="120">
        <f>'3.pielikums'!I221</f>
        <v>0</v>
      </c>
      <c r="G22" s="120">
        <f>'3.pielikums'!K221</f>
        <v>0</v>
      </c>
      <c r="H22" s="121">
        <f t="shared" si="0"/>
        <v>389575</v>
      </c>
    </row>
    <row r="23" spans="1:8" ht="15" hidden="1">
      <c r="A23" s="54"/>
      <c r="B23" s="75" t="s">
        <v>175</v>
      </c>
      <c r="C23" s="55">
        <v>0</v>
      </c>
      <c r="D23" s="120">
        <f>'3.pielikums'!E222</f>
        <v>0</v>
      </c>
      <c r="E23" s="120">
        <f>'3.pielikums'!G222</f>
        <v>0</v>
      </c>
      <c r="F23" s="120">
        <f>'3.pielikums'!I222</f>
        <v>0</v>
      </c>
      <c r="G23" s="120">
        <f>'3.pielikums'!K222</f>
        <v>0</v>
      </c>
      <c r="H23" s="122">
        <f t="shared" si="0"/>
        <v>0</v>
      </c>
    </row>
    <row r="24" spans="1:8" s="49" customFormat="1" ht="60" hidden="1">
      <c r="A24" s="138"/>
      <c r="B24" s="197" t="s">
        <v>850</v>
      </c>
      <c r="C24" s="204">
        <v>0</v>
      </c>
      <c r="D24" s="205">
        <f>'3.pielikums'!E223</f>
        <v>0</v>
      </c>
      <c r="E24" s="205">
        <f>'3.pielikums'!G223</f>
        <v>0</v>
      </c>
      <c r="F24" s="205">
        <f>'3.pielikums'!I223</f>
        <v>0</v>
      </c>
      <c r="G24" s="205">
        <f>'3.pielikums'!K223</f>
        <v>0</v>
      </c>
      <c r="H24" s="204">
        <f t="shared" si="0"/>
        <v>0</v>
      </c>
    </row>
    <row r="25" spans="1:8" ht="15">
      <c r="A25" s="27"/>
      <c r="B25" s="74" t="s">
        <v>176</v>
      </c>
      <c r="C25" s="33">
        <v>389575</v>
      </c>
      <c r="D25" s="120">
        <f>'3.pielikums'!E224</f>
        <v>0</v>
      </c>
      <c r="E25" s="120">
        <f>'3.pielikums'!G224</f>
        <v>0</v>
      </c>
      <c r="F25" s="120">
        <f>'3.pielikums'!I224</f>
        <v>0</v>
      </c>
      <c r="G25" s="120">
        <f>'3.pielikums'!K224</f>
        <v>0</v>
      </c>
      <c r="H25" s="123">
        <f t="shared" si="0"/>
        <v>389575</v>
      </c>
    </row>
    <row r="26" spans="1:8" ht="15" hidden="1">
      <c r="A26" s="54"/>
      <c r="B26" s="75" t="s">
        <v>177</v>
      </c>
      <c r="C26" s="55">
        <v>0</v>
      </c>
      <c r="D26" s="120">
        <f>'3.pielikums'!E225</f>
        <v>0</v>
      </c>
      <c r="E26" s="120">
        <f>'3.pielikums'!G225</f>
        <v>0</v>
      </c>
      <c r="F26" s="120">
        <f>'3.pielikums'!I225</f>
        <v>0</v>
      </c>
      <c r="G26" s="120">
        <f>'3.pielikums'!K225</f>
        <v>0</v>
      </c>
      <c r="H26" s="122">
        <f t="shared" si="0"/>
        <v>0</v>
      </c>
    </row>
    <row r="27" spans="1:8" ht="15" hidden="1">
      <c r="A27" s="54"/>
      <c r="B27" s="75" t="s">
        <v>178</v>
      </c>
      <c r="C27" s="55">
        <v>0</v>
      </c>
      <c r="D27" s="120">
        <f>'3.pielikums'!E226</f>
        <v>0</v>
      </c>
      <c r="E27" s="120">
        <f>'3.pielikums'!G226</f>
        <v>0</v>
      </c>
      <c r="F27" s="120">
        <f>'3.pielikums'!I226</f>
        <v>0</v>
      </c>
      <c r="G27" s="120">
        <f>'3.pielikums'!K226</f>
        <v>0</v>
      </c>
      <c r="H27" s="122">
        <f t="shared" si="0"/>
        <v>0</v>
      </c>
    </row>
    <row r="28" spans="1:8" ht="15">
      <c r="A28" s="27" t="s">
        <v>140</v>
      </c>
      <c r="B28" s="34" t="s">
        <v>179</v>
      </c>
      <c r="C28" s="29">
        <v>159643</v>
      </c>
      <c r="D28" s="120">
        <f>'3.pielikums'!E227</f>
        <v>-41868</v>
      </c>
      <c r="E28" s="120">
        <f>'3.pielikums'!G227</f>
        <v>0</v>
      </c>
      <c r="F28" s="120">
        <f>'3.pielikums'!I227</f>
        <v>41868</v>
      </c>
      <c r="G28" s="120">
        <f>'3.pielikums'!K227</f>
        <v>0</v>
      </c>
      <c r="H28" s="121">
        <f t="shared" si="0"/>
        <v>159643</v>
      </c>
    </row>
    <row r="29" spans="1:8" ht="18.75">
      <c r="A29" s="35"/>
      <c r="B29" s="31" t="s">
        <v>180</v>
      </c>
      <c r="C29" s="26">
        <f>C10+C20</f>
        <v>120086655</v>
      </c>
      <c r="D29" s="26">
        <f>D10+D20</f>
        <v>198390</v>
      </c>
      <c r="E29" s="26">
        <f>E10+E20</f>
        <v>-8932</v>
      </c>
      <c r="F29" s="26">
        <f>F10+F20</f>
        <v>1484944</v>
      </c>
      <c r="G29" s="26">
        <f>G10+G20</f>
        <v>0</v>
      </c>
      <c r="H29" s="26">
        <f t="shared" si="0"/>
        <v>121761057</v>
      </c>
    </row>
    <row r="31" spans="1:8" ht="18.75">
      <c r="A31" s="53" t="s">
        <v>145</v>
      </c>
      <c r="H31" s="53" t="s">
        <v>146</v>
      </c>
    </row>
    <row r="32" ht="15">
      <c r="C32" s="48"/>
    </row>
    <row r="33" ht="15">
      <c r="C33" s="48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zoomScalePageLayoutView="0" workbookViewId="0" topLeftCell="A1">
      <pane ySplit="9" topLeftCell="A214" activePane="bottomLeft" state="frozen"/>
      <selection pane="topLeft" activeCell="A1" sqref="A1"/>
      <selection pane="bottomLeft" activeCell="O5" sqref="O5"/>
    </sheetView>
  </sheetViews>
  <sheetFormatPr defaultColWidth="9.140625" defaultRowHeight="15"/>
  <cols>
    <col min="1" max="1" width="11.57421875" style="3" customWidth="1"/>
    <col min="2" max="2" width="33.7109375" style="64" customWidth="1"/>
    <col min="3" max="3" width="12.7109375" style="52" customWidth="1"/>
    <col min="4" max="4" width="11.8515625" style="3" customWidth="1"/>
    <col min="5" max="5" width="11.57421875" style="65" customWidth="1"/>
    <col min="6" max="6" width="10.140625" style="3" customWidth="1"/>
    <col min="7" max="7" width="10.8515625" style="65" customWidth="1"/>
    <col min="8" max="8" width="11.8515625" style="3" customWidth="1"/>
    <col min="9" max="9" width="11.421875" style="65" customWidth="1"/>
    <col min="10" max="10" width="10.8515625" style="3" customWidth="1"/>
    <col min="11" max="11" width="11.00390625" style="65" customWidth="1"/>
    <col min="12" max="12" width="12.8515625" style="52" customWidth="1"/>
    <col min="13" max="16384" width="9.140625" style="3" customWidth="1"/>
  </cols>
  <sheetData>
    <row r="1" spans="1:12" ht="15">
      <c r="A1" s="2"/>
      <c r="K1" s="1" t="s">
        <v>181</v>
      </c>
      <c r="L1" s="77"/>
    </row>
    <row r="2" spans="8:12" ht="15">
      <c r="H2" s="482" t="s">
        <v>1087</v>
      </c>
      <c r="I2" s="482"/>
      <c r="J2" s="482"/>
      <c r="K2" s="482"/>
      <c r="L2" s="77"/>
    </row>
    <row r="3" ht="15">
      <c r="K3" s="139" t="s">
        <v>1089</v>
      </c>
    </row>
    <row r="5" spans="1:12" ht="18.75">
      <c r="A5" s="483" t="s">
        <v>914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2" ht="15">
      <c r="A6" s="484" t="s">
        <v>182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</row>
    <row r="7" ht="15">
      <c r="L7" s="78"/>
    </row>
    <row r="8" spans="1:12" s="64" customFormat="1" ht="15" customHeight="1">
      <c r="A8" s="494" t="s">
        <v>2</v>
      </c>
      <c r="B8" s="494" t="s">
        <v>149</v>
      </c>
      <c r="C8" s="485" t="str">
        <f>'2.pielikums'!C8:C9</f>
        <v>Plāns 2024.gadam, EUR</v>
      </c>
      <c r="D8" s="489" t="s">
        <v>486</v>
      </c>
      <c r="E8" s="490"/>
      <c r="F8" s="490"/>
      <c r="G8" s="490"/>
      <c r="H8" s="490"/>
      <c r="I8" s="490"/>
      <c r="J8" s="490"/>
      <c r="K8" s="491"/>
      <c r="L8" s="487" t="str">
        <f>'2.pielikums'!H8:H9</f>
        <v>Precizētais plāns uz 23.05.2024, EUR</v>
      </c>
    </row>
    <row r="9" spans="1:12" s="64" customFormat="1" ht="48">
      <c r="A9" s="494"/>
      <c r="B9" s="494"/>
      <c r="C9" s="485"/>
      <c r="D9" s="36" t="s">
        <v>150</v>
      </c>
      <c r="E9" s="37" t="s">
        <v>183</v>
      </c>
      <c r="F9" s="36" t="s">
        <v>151</v>
      </c>
      <c r="G9" s="37" t="s">
        <v>184</v>
      </c>
      <c r="H9" s="36" t="s">
        <v>83</v>
      </c>
      <c r="I9" s="37" t="s">
        <v>185</v>
      </c>
      <c r="J9" s="36" t="s">
        <v>152</v>
      </c>
      <c r="K9" s="37" t="s">
        <v>186</v>
      </c>
      <c r="L9" s="488"/>
    </row>
    <row r="10" spans="1:12" ht="15">
      <c r="A10" s="56">
        <v>1</v>
      </c>
      <c r="B10" s="57">
        <v>2</v>
      </c>
      <c r="C10" s="79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79">
        <v>12</v>
      </c>
    </row>
    <row r="11" spans="1:12" ht="28.5">
      <c r="A11" s="38"/>
      <c r="B11" s="4" t="s">
        <v>153</v>
      </c>
      <c r="C11" s="5">
        <f aca="true" t="shared" si="0" ref="C11:C42">D11+F11+H11+J11</f>
        <v>115042273</v>
      </c>
      <c r="D11" s="5">
        <f aca="true" t="shared" si="1" ref="D11:K11">D12+D35+D42+D67+D82+D98+D105+D135+D184</f>
        <v>80218723</v>
      </c>
      <c r="E11" s="63">
        <f t="shared" si="1"/>
        <v>105783</v>
      </c>
      <c r="F11" s="191">
        <f t="shared" si="1"/>
        <v>3339769</v>
      </c>
      <c r="G11" s="196">
        <f t="shared" si="1"/>
        <v>-8932</v>
      </c>
      <c r="H11" s="191">
        <f t="shared" si="1"/>
        <v>30413210</v>
      </c>
      <c r="I11" s="196">
        <f>I12+I35+I42+I67+I82+I98+I105+I135+I184</f>
        <v>1327061</v>
      </c>
      <c r="J11" s="191">
        <f t="shared" si="1"/>
        <v>1070571</v>
      </c>
      <c r="K11" s="196">
        <f t="shared" si="1"/>
        <v>0</v>
      </c>
      <c r="L11" s="191">
        <f>SUM(D11:K11)</f>
        <v>116466185</v>
      </c>
    </row>
    <row r="12" spans="1:12" ht="15">
      <c r="A12" s="39" t="s">
        <v>154</v>
      </c>
      <c r="B12" s="40" t="s">
        <v>155</v>
      </c>
      <c r="C12" s="5">
        <f t="shared" si="0"/>
        <v>14331579</v>
      </c>
      <c r="D12" s="41">
        <f aca="true" t="shared" si="2" ref="D12:K12">D13+D18+D22+D26+D28+D30+D33</f>
        <v>12481026</v>
      </c>
      <c r="E12" s="42">
        <f t="shared" si="2"/>
        <v>-89074</v>
      </c>
      <c r="F12" s="41">
        <f t="shared" si="2"/>
        <v>445413</v>
      </c>
      <c r="G12" s="194">
        <f t="shared" si="2"/>
        <v>-33811</v>
      </c>
      <c r="H12" s="193">
        <f t="shared" si="2"/>
        <v>399623</v>
      </c>
      <c r="I12" s="194">
        <f t="shared" si="2"/>
        <v>93744</v>
      </c>
      <c r="J12" s="193">
        <f t="shared" si="2"/>
        <v>1005517</v>
      </c>
      <c r="K12" s="194">
        <f t="shared" si="2"/>
        <v>0</v>
      </c>
      <c r="L12" s="191">
        <f aca="true" t="shared" si="3" ref="L12:L42">SUM(D12:K12)</f>
        <v>14302438</v>
      </c>
    </row>
    <row r="13" spans="1:12" ht="25.5">
      <c r="A13" s="6" t="s">
        <v>187</v>
      </c>
      <c r="B13" s="7" t="s">
        <v>188</v>
      </c>
      <c r="C13" s="80">
        <f t="shared" si="0"/>
        <v>6069939</v>
      </c>
      <c r="D13" s="8">
        <f aca="true" t="shared" si="4" ref="D13:K13">SUM(D14:D17)</f>
        <v>5262111</v>
      </c>
      <c r="E13" s="43">
        <f t="shared" si="4"/>
        <v>33811</v>
      </c>
      <c r="F13" s="8">
        <f t="shared" si="4"/>
        <v>445413</v>
      </c>
      <c r="G13" s="43">
        <f t="shared" si="4"/>
        <v>-33811</v>
      </c>
      <c r="H13" s="8">
        <f t="shared" si="4"/>
        <v>250300</v>
      </c>
      <c r="I13" s="43">
        <f t="shared" si="4"/>
        <v>0</v>
      </c>
      <c r="J13" s="8">
        <f t="shared" si="4"/>
        <v>112115</v>
      </c>
      <c r="K13" s="43">
        <f t="shared" si="4"/>
        <v>0</v>
      </c>
      <c r="L13" s="81">
        <f t="shared" si="3"/>
        <v>6069939</v>
      </c>
    </row>
    <row r="14" spans="1:12" ht="15">
      <c r="A14" s="9" t="s">
        <v>8</v>
      </c>
      <c r="B14" s="10" t="s">
        <v>189</v>
      </c>
      <c r="C14" s="81">
        <f t="shared" si="0"/>
        <v>5173634</v>
      </c>
      <c r="D14" s="11">
        <v>4746618</v>
      </c>
      <c r="E14" s="44">
        <v>-80000</v>
      </c>
      <c r="F14" s="11">
        <v>168893</v>
      </c>
      <c r="G14" s="44">
        <v>80000</v>
      </c>
      <c r="H14" s="11">
        <v>240000</v>
      </c>
      <c r="I14" s="44">
        <v>0</v>
      </c>
      <c r="J14" s="11">
        <v>18123</v>
      </c>
      <c r="K14" s="44">
        <v>0</v>
      </c>
      <c r="L14" s="81">
        <f t="shared" si="3"/>
        <v>5173634</v>
      </c>
    </row>
    <row r="15" spans="1:12" ht="38.25">
      <c r="A15" s="12" t="s">
        <v>190</v>
      </c>
      <c r="B15" s="13" t="s">
        <v>191</v>
      </c>
      <c r="C15" s="81">
        <f t="shared" si="0"/>
        <v>8482</v>
      </c>
      <c r="D15" s="14">
        <v>0</v>
      </c>
      <c r="E15" s="44">
        <v>0</v>
      </c>
      <c r="F15" s="11">
        <v>0</v>
      </c>
      <c r="G15" s="44">
        <v>0</v>
      </c>
      <c r="H15" s="11">
        <v>8482</v>
      </c>
      <c r="I15" s="44">
        <v>0</v>
      </c>
      <c r="J15" s="11">
        <v>0</v>
      </c>
      <c r="K15" s="44">
        <v>0</v>
      </c>
      <c r="L15" s="81">
        <f t="shared" si="3"/>
        <v>8482</v>
      </c>
    </row>
    <row r="16" spans="1:12" ht="31.5" customHeight="1">
      <c r="A16" s="12" t="s">
        <v>445</v>
      </c>
      <c r="B16" s="13" t="s">
        <v>446</v>
      </c>
      <c r="C16" s="81">
        <f t="shared" si="0"/>
        <v>600866</v>
      </c>
      <c r="D16" s="14">
        <v>349048</v>
      </c>
      <c r="E16" s="44">
        <v>113811</v>
      </c>
      <c r="F16" s="11">
        <v>250000</v>
      </c>
      <c r="G16" s="44">
        <v>-113811</v>
      </c>
      <c r="H16" s="11">
        <v>1818</v>
      </c>
      <c r="I16" s="44">
        <v>0</v>
      </c>
      <c r="J16" s="11">
        <v>0</v>
      </c>
      <c r="K16" s="44">
        <v>0</v>
      </c>
      <c r="L16" s="81">
        <f t="shared" si="3"/>
        <v>600866</v>
      </c>
    </row>
    <row r="17" spans="1:12" ht="63.75">
      <c r="A17" s="12" t="s">
        <v>489</v>
      </c>
      <c r="B17" s="10" t="s">
        <v>490</v>
      </c>
      <c r="C17" s="81">
        <f t="shared" si="0"/>
        <v>286957</v>
      </c>
      <c r="D17" s="11">
        <v>166445</v>
      </c>
      <c r="E17" s="44">
        <v>0</v>
      </c>
      <c r="F17" s="11">
        <v>26520</v>
      </c>
      <c r="G17" s="44">
        <v>0</v>
      </c>
      <c r="H17" s="11">
        <v>0</v>
      </c>
      <c r="I17" s="44">
        <v>0</v>
      </c>
      <c r="J17" s="11">
        <v>93992</v>
      </c>
      <c r="K17" s="44">
        <v>0</v>
      </c>
      <c r="L17" s="81">
        <f t="shared" si="3"/>
        <v>286957</v>
      </c>
    </row>
    <row r="18" spans="1:12" ht="15">
      <c r="A18" s="6" t="s">
        <v>192</v>
      </c>
      <c r="B18" s="7" t="s">
        <v>193</v>
      </c>
      <c r="C18" s="80">
        <f t="shared" si="0"/>
        <v>436051</v>
      </c>
      <c r="D18" s="8">
        <f aca="true" t="shared" si="5" ref="D18:K18">SUM(D19:D21)</f>
        <v>436051</v>
      </c>
      <c r="E18" s="45">
        <f t="shared" si="5"/>
        <v>0</v>
      </c>
      <c r="F18" s="17">
        <f t="shared" si="5"/>
        <v>0</v>
      </c>
      <c r="G18" s="45">
        <f t="shared" si="5"/>
        <v>0</v>
      </c>
      <c r="H18" s="17">
        <f t="shared" si="5"/>
        <v>0</v>
      </c>
      <c r="I18" s="45">
        <f t="shared" si="5"/>
        <v>0</v>
      </c>
      <c r="J18" s="17">
        <f t="shared" si="5"/>
        <v>0</v>
      </c>
      <c r="K18" s="43">
        <f t="shared" si="5"/>
        <v>0</v>
      </c>
      <c r="L18" s="81">
        <f t="shared" si="3"/>
        <v>436051</v>
      </c>
    </row>
    <row r="19" spans="1:12" ht="38.25">
      <c r="A19" s="12" t="s">
        <v>194</v>
      </c>
      <c r="B19" s="13" t="s">
        <v>491</v>
      </c>
      <c r="C19" s="81">
        <f t="shared" si="0"/>
        <v>100694</v>
      </c>
      <c r="D19" s="11">
        <v>100694</v>
      </c>
      <c r="E19" s="44">
        <v>0</v>
      </c>
      <c r="F19" s="11">
        <v>0</v>
      </c>
      <c r="G19" s="44">
        <v>0</v>
      </c>
      <c r="H19" s="11">
        <v>0</v>
      </c>
      <c r="I19" s="44">
        <v>0</v>
      </c>
      <c r="J19" s="11">
        <v>0</v>
      </c>
      <c r="K19" s="44">
        <v>0</v>
      </c>
      <c r="L19" s="81">
        <f t="shared" si="3"/>
        <v>100694</v>
      </c>
    </row>
    <row r="20" spans="1:12" ht="38.25">
      <c r="A20" s="12" t="s">
        <v>195</v>
      </c>
      <c r="B20" s="13" t="s">
        <v>492</v>
      </c>
      <c r="C20" s="81">
        <f t="shared" si="0"/>
        <v>335357</v>
      </c>
      <c r="D20" s="11">
        <v>335357</v>
      </c>
      <c r="E20" s="44">
        <v>0</v>
      </c>
      <c r="F20" s="11">
        <v>0</v>
      </c>
      <c r="G20" s="44">
        <v>0</v>
      </c>
      <c r="H20" s="11">
        <v>0</v>
      </c>
      <c r="I20" s="44">
        <v>0</v>
      </c>
      <c r="J20" s="11">
        <v>0</v>
      </c>
      <c r="K20" s="44">
        <v>0</v>
      </c>
      <c r="L20" s="81">
        <f t="shared" si="3"/>
        <v>335357</v>
      </c>
    </row>
    <row r="21" spans="1:12" ht="15" hidden="1">
      <c r="A21" s="66" t="s">
        <v>487</v>
      </c>
      <c r="B21" s="67" t="s">
        <v>488</v>
      </c>
      <c r="C21" s="82">
        <f t="shared" si="0"/>
        <v>0</v>
      </c>
      <c r="D21" s="19">
        <v>0</v>
      </c>
      <c r="E21" s="94">
        <v>0</v>
      </c>
      <c r="F21" s="19">
        <v>0</v>
      </c>
      <c r="G21" s="199">
        <v>0</v>
      </c>
      <c r="H21" s="192">
        <v>0</v>
      </c>
      <c r="I21" s="199">
        <v>0</v>
      </c>
      <c r="J21" s="192">
        <v>0</v>
      </c>
      <c r="K21" s="199"/>
      <c r="L21" s="81">
        <f t="shared" si="3"/>
        <v>0</v>
      </c>
    </row>
    <row r="22" spans="1:12" ht="26.25">
      <c r="A22" s="6" t="s">
        <v>196</v>
      </c>
      <c r="B22" s="46" t="s">
        <v>197</v>
      </c>
      <c r="C22" s="80">
        <f>D22+F22+H22+J22</f>
        <v>1661368</v>
      </c>
      <c r="D22" s="17">
        <f aca="true" t="shared" si="6" ref="D22:K22">SUM(D23:D25)</f>
        <v>1512045</v>
      </c>
      <c r="E22" s="45">
        <f t="shared" si="6"/>
        <v>0</v>
      </c>
      <c r="F22" s="17">
        <f t="shared" si="6"/>
        <v>0</v>
      </c>
      <c r="G22" s="45">
        <f t="shared" si="6"/>
        <v>0</v>
      </c>
      <c r="H22" s="17">
        <f t="shared" si="6"/>
        <v>149323</v>
      </c>
      <c r="I22" s="45">
        <f t="shared" si="6"/>
        <v>0</v>
      </c>
      <c r="J22" s="17">
        <f t="shared" si="6"/>
        <v>0</v>
      </c>
      <c r="K22" s="45">
        <f t="shared" si="6"/>
        <v>0</v>
      </c>
      <c r="L22" s="81">
        <f>SUM(D22:K22)</f>
        <v>1661368</v>
      </c>
    </row>
    <row r="23" spans="1:12" ht="25.5">
      <c r="A23" s="12" t="s">
        <v>198</v>
      </c>
      <c r="B23" s="13" t="s">
        <v>199</v>
      </c>
      <c r="C23" s="81">
        <f t="shared" si="0"/>
        <v>855386</v>
      </c>
      <c r="D23" s="11">
        <v>855386</v>
      </c>
      <c r="E23" s="44">
        <v>0</v>
      </c>
      <c r="F23" s="11">
        <v>0</v>
      </c>
      <c r="G23" s="44">
        <v>0</v>
      </c>
      <c r="H23" s="11">
        <v>0</v>
      </c>
      <c r="I23" s="44">
        <v>0</v>
      </c>
      <c r="J23" s="11">
        <v>0</v>
      </c>
      <c r="K23" s="44">
        <v>0</v>
      </c>
      <c r="L23" s="81">
        <f t="shared" si="3"/>
        <v>855386</v>
      </c>
    </row>
    <row r="24" spans="1:12" ht="25.5">
      <c r="A24" s="12" t="s">
        <v>493</v>
      </c>
      <c r="B24" s="13" t="s">
        <v>494</v>
      </c>
      <c r="C24" s="81">
        <f t="shared" si="0"/>
        <v>656659</v>
      </c>
      <c r="D24" s="11">
        <v>656659</v>
      </c>
      <c r="E24" s="44">
        <v>0</v>
      </c>
      <c r="F24" s="11">
        <v>0</v>
      </c>
      <c r="G24" s="44">
        <v>0</v>
      </c>
      <c r="H24" s="11">
        <v>0</v>
      </c>
      <c r="I24" s="44">
        <v>0</v>
      </c>
      <c r="J24" s="11">
        <v>0</v>
      </c>
      <c r="K24" s="44">
        <v>0</v>
      </c>
      <c r="L24" s="81">
        <f t="shared" si="3"/>
        <v>656659</v>
      </c>
    </row>
    <row r="25" spans="1:12" s="2" customFormat="1" ht="63.75">
      <c r="A25" s="12" t="s">
        <v>864</v>
      </c>
      <c r="B25" s="13" t="s">
        <v>865</v>
      </c>
      <c r="C25" s="81">
        <f>D25+F25+H25+J25</f>
        <v>149323</v>
      </c>
      <c r="D25" s="11">
        <v>0</v>
      </c>
      <c r="E25" s="44">
        <v>0</v>
      </c>
      <c r="F25" s="11">
        <v>0</v>
      </c>
      <c r="G25" s="44">
        <v>0</v>
      </c>
      <c r="H25" s="11">
        <v>149323</v>
      </c>
      <c r="I25" s="44">
        <v>0</v>
      </c>
      <c r="J25" s="11">
        <v>0</v>
      </c>
      <c r="K25" s="44">
        <v>0</v>
      </c>
      <c r="L25" s="81">
        <f>SUM(D25:K25)</f>
        <v>149323</v>
      </c>
    </row>
    <row r="26" spans="1:12" s="49" customFormat="1" ht="25.5">
      <c r="A26" s="163" t="s">
        <v>200</v>
      </c>
      <c r="B26" s="20" t="s">
        <v>201</v>
      </c>
      <c r="C26" s="81">
        <f t="shared" si="0"/>
        <v>0</v>
      </c>
      <c r="D26" s="17">
        <f>D27</f>
        <v>0</v>
      </c>
      <c r="E26" s="45">
        <f aca="true" t="shared" si="7" ref="E26:K26">E27</f>
        <v>0</v>
      </c>
      <c r="F26" s="17">
        <f t="shared" si="7"/>
        <v>0</v>
      </c>
      <c r="G26" s="45">
        <f t="shared" si="7"/>
        <v>0</v>
      </c>
      <c r="H26" s="17">
        <f t="shared" si="7"/>
        <v>0</v>
      </c>
      <c r="I26" s="45">
        <f t="shared" si="7"/>
        <v>93744</v>
      </c>
      <c r="J26" s="17">
        <f t="shared" si="7"/>
        <v>0</v>
      </c>
      <c r="K26" s="45">
        <f t="shared" si="7"/>
        <v>0</v>
      </c>
      <c r="L26" s="81">
        <f t="shared" si="3"/>
        <v>93744</v>
      </c>
    </row>
    <row r="27" spans="1:12" s="49" customFormat="1" ht="15">
      <c r="A27" s="9" t="s">
        <v>202</v>
      </c>
      <c r="B27" s="10" t="s">
        <v>203</v>
      </c>
      <c r="C27" s="81">
        <f t="shared" si="0"/>
        <v>0</v>
      </c>
      <c r="D27" s="11">
        <v>0</v>
      </c>
      <c r="E27" s="44">
        <v>0</v>
      </c>
      <c r="F27" s="11">
        <v>0</v>
      </c>
      <c r="G27" s="44">
        <v>0</v>
      </c>
      <c r="H27" s="11">
        <v>0</v>
      </c>
      <c r="I27" s="44">
        <v>93744</v>
      </c>
      <c r="J27" s="11">
        <v>0</v>
      </c>
      <c r="K27" s="44">
        <v>0</v>
      </c>
      <c r="L27" s="81">
        <f t="shared" si="3"/>
        <v>93744</v>
      </c>
    </row>
    <row r="28" spans="1:12" ht="15">
      <c r="A28" s="15" t="s">
        <v>204</v>
      </c>
      <c r="B28" s="16" t="s">
        <v>205</v>
      </c>
      <c r="C28" s="80">
        <f t="shared" si="0"/>
        <v>5010038</v>
      </c>
      <c r="D28" s="17">
        <f>D29</f>
        <v>5010038</v>
      </c>
      <c r="E28" s="45">
        <f aca="true" t="shared" si="8" ref="E28:K28">E29</f>
        <v>0</v>
      </c>
      <c r="F28" s="17">
        <f t="shared" si="8"/>
        <v>0</v>
      </c>
      <c r="G28" s="45">
        <f t="shared" si="8"/>
        <v>0</v>
      </c>
      <c r="H28" s="17">
        <f t="shared" si="8"/>
        <v>0</v>
      </c>
      <c r="I28" s="45">
        <f t="shared" si="8"/>
        <v>0</v>
      </c>
      <c r="J28" s="17">
        <f t="shared" si="8"/>
        <v>0</v>
      </c>
      <c r="K28" s="45">
        <f t="shared" si="8"/>
        <v>0</v>
      </c>
      <c r="L28" s="81">
        <f t="shared" si="3"/>
        <v>5010038</v>
      </c>
    </row>
    <row r="29" spans="1:12" ht="15">
      <c r="A29" s="12" t="s">
        <v>206</v>
      </c>
      <c r="B29" s="13" t="s">
        <v>207</v>
      </c>
      <c r="C29" s="81">
        <f t="shared" si="0"/>
        <v>5010038</v>
      </c>
      <c r="D29" s="11">
        <v>5010038</v>
      </c>
      <c r="E29" s="44">
        <v>0</v>
      </c>
      <c r="F29" s="11">
        <v>0</v>
      </c>
      <c r="G29" s="44">
        <v>0</v>
      </c>
      <c r="H29" s="11">
        <v>0</v>
      </c>
      <c r="I29" s="44">
        <v>0</v>
      </c>
      <c r="J29" s="11">
        <v>0</v>
      </c>
      <c r="K29" s="44">
        <v>0</v>
      </c>
      <c r="L29" s="81">
        <f t="shared" si="3"/>
        <v>5010038</v>
      </c>
    </row>
    <row r="30" spans="1:12" ht="27" customHeight="1">
      <c r="A30" s="6" t="s">
        <v>208</v>
      </c>
      <c r="B30" s="7" t="s">
        <v>209</v>
      </c>
      <c r="C30" s="80">
        <f t="shared" si="0"/>
        <v>1004183</v>
      </c>
      <c r="D30" s="17">
        <f aca="true" t="shared" si="9" ref="D30:K30">SUM(D31:D32)</f>
        <v>110781</v>
      </c>
      <c r="E30" s="45">
        <f t="shared" si="9"/>
        <v>0</v>
      </c>
      <c r="F30" s="17">
        <f t="shared" si="9"/>
        <v>0</v>
      </c>
      <c r="G30" s="45">
        <f t="shared" si="9"/>
        <v>0</v>
      </c>
      <c r="H30" s="17">
        <f t="shared" si="9"/>
        <v>0</v>
      </c>
      <c r="I30" s="45">
        <f t="shared" si="9"/>
        <v>0</v>
      </c>
      <c r="J30" s="17">
        <f t="shared" si="9"/>
        <v>893402</v>
      </c>
      <c r="K30" s="43">
        <f t="shared" si="9"/>
        <v>0</v>
      </c>
      <c r="L30" s="81">
        <f t="shared" si="3"/>
        <v>1004183</v>
      </c>
    </row>
    <row r="31" spans="1:12" ht="25.5">
      <c r="A31" s="12" t="s">
        <v>210</v>
      </c>
      <c r="B31" s="13" t="s">
        <v>211</v>
      </c>
      <c r="C31" s="81">
        <f t="shared" si="0"/>
        <v>1004183</v>
      </c>
      <c r="D31" s="11">
        <v>110781</v>
      </c>
      <c r="E31" s="44">
        <v>0</v>
      </c>
      <c r="F31" s="11">
        <v>0</v>
      </c>
      <c r="G31" s="44">
        <v>0</v>
      </c>
      <c r="H31" s="11">
        <v>0</v>
      </c>
      <c r="I31" s="44">
        <v>0</v>
      </c>
      <c r="J31" s="11">
        <v>893402</v>
      </c>
      <c r="K31" s="44">
        <v>0</v>
      </c>
      <c r="L31" s="81">
        <f t="shared" si="3"/>
        <v>1004183</v>
      </c>
    </row>
    <row r="32" spans="1:12" ht="33" customHeight="1" hidden="1">
      <c r="A32" s="66" t="s">
        <v>212</v>
      </c>
      <c r="B32" s="67" t="s">
        <v>213</v>
      </c>
      <c r="C32" s="82">
        <f t="shared" si="0"/>
        <v>0</v>
      </c>
      <c r="D32" s="19">
        <v>0</v>
      </c>
      <c r="E32" s="94">
        <v>0</v>
      </c>
      <c r="F32" s="19">
        <v>0</v>
      </c>
      <c r="G32" s="199">
        <v>0</v>
      </c>
      <c r="H32" s="192">
        <v>0</v>
      </c>
      <c r="I32" s="199">
        <v>0</v>
      </c>
      <c r="J32" s="192">
        <v>0</v>
      </c>
      <c r="K32" s="199">
        <v>0</v>
      </c>
      <c r="L32" s="81">
        <f t="shared" si="3"/>
        <v>0</v>
      </c>
    </row>
    <row r="33" spans="1:12" ht="38.25">
      <c r="A33" s="6" t="s">
        <v>214</v>
      </c>
      <c r="B33" s="7" t="s">
        <v>215</v>
      </c>
      <c r="C33" s="80">
        <f t="shared" si="0"/>
        <v>150000</v>
      </c>
      <c r="D33" s="17">
        <f>D34</f>
        <v>150000</v>
      </c>
      <c r="E33" s="45">
        <f aca="true" t="shared" si="10" ref="E33:K33">E34</f>
        <v>-122885</v>
      </c>
      <c r="F33" s="17">
        <f t="shared" si="10"/>
        <v>0</v>
      </c>
      <c r="G33" s="45">
        <f t="shared" si="10"/>
        <v>0</v>
      </c>
      <c r="H33" s="17">
        <f t="shared" si="10"/>
        <v>0</v>
      </c>
      <c r="I33" s="45">
        <f t="shared" si="10"/>
        <v>0</v>
      </c>
      <c r="J33" s="17">
        <f t="shared" si="10"/>
        <v>0</v>
      </c>
      <c r="K33" s="45">
        <f t="shared" si="10"/>
        <v>0</v>
      </c>
      <c r="L33" s="81">
        <f t="shared" si="3"/>
        <v>27115</v>
      </c>
    </row>
    <row r="34" spans="1:12" ht="15">
      <c r="A34" s="12" t="s">
        <v>216</v>
      </c>
      <c r="B34" s="13" t="s">
        <v>452</v>
      </c>
      <c r="C34" s="81">
        <f t="shared" si="0"/>
        <v>150000</v>
      </c>
      <c r="D34" s="11">
        <v>150000</v>
      </c>
      <c r="E34" s="44">
        <v>-122885</v>
      </c>
      <c r="F34" s="11">
        <v>0</v>
      </c>
      <c r="G34" s="44">
        <v>0</v>
      </c>
      <c r="H34" s="11">
        <v>0</v>
      </c>
      <c r="I34" s="44">
        <v>0</v>
      </c>
      <c r="J34" s="11">
        <v>0</v>
      </c>
      <c r="K34" s="44"/>
      <c r="L34" s="81">
        <f t="shared" si="3"/>
        <v>27115</v>
      </c>
    </row>
    <row r="35" spans="1:12" ht="15">
      <c r="A35" s="39" t="s">
        <v>156</v>
      </c>
      <c r="B35" s="40" t="s">
        <v>157</v>
      </c>
      <c r="C35" s="5">
        <f t="shared" si="0"/>
        <v>4577917</v>
      </c>
      <c r="D35" s="41">
        <f>D36+D39</f>
        <v>4064273</v>
      </c>
      <c r="E35" s="42">
        <f aca="true" t="shared" si="11" ref="E35:K35">E36+E39</f>
        <v>0</v>
      </c>
      <c r="F35" s="41">
        <f t="shared" si="11"/>
        <v>498354</v>
      </c>
      <c r="G35" s="194">
        <f t="shared" si="11"/>
        <v>0</v>
      </c>
      <c r="H35" s="193">
        <f t="shared" si="11"/>
        <v>0</v>
      </c>
      <c r="I35" s="194">
        <f t="shared" si="11"/>
        <v>0</v>
      </c>
      <c r="J35" s="193">
        <f t="shared" si="11"/>
        <v>15290</v>
      </c>
      <c r="K35" s="194">
        <f t="shared" si="11"/>
        <v>0</v>
      </c>
      <c r="L35" s="191">
        <f t="shared" si="3"/>
        <v>4577917</v>
      </c>
    </row>
    <row r="36" spans="1:12" ht="15">
      <c r="A36" s="6" t="s">
        <v>217</v>
      </c>
      <c r="B36" s="7" t="s">
        <v>218</v>
      </c>
      <c r="C36" s="80">
        <f t="shared" si="0"/>
        <v>4386616</v>
      </c>
      <c r="D36" s="17">
        <f>D37+D38</f>
        <v>3888262</v>
      </c>
      <c r="E36" s="45">
        <f>E37+E38</f>
        <v>0</v>
      </c>
      <c r="F36" s="17">
        <f aca="true" t="shared" si="12" ref="F36:K36">F37+F38</f>
        <v>498354</v>
      </c>
      <c r="G36" s="45">
        <f t="shared" si="12"/>
        <v>0</v>
      </c>
      <c r="H36" s="17">
        <f t="shared" si="12"/>
        <v>0</v>
      </c>
      <c r="I36" s="45">
        <f t="shared" si="12"/>
        <v>0</v>
      </c>
      <c r="J36" s="17">
        <f t="shared" si="12"/>
        <v>0</v>
      </c>
      <c r="K36" s="45">
        <f t="shared" si="12"/>
        <v>0</v>
      </c>
      <c r="L36" s="81">
        <f t="shared" si="3"/>
        <v>4386616</v>
      </c>
    </row>
    <row r="37" spans="1:12" ht="25.5">
      <c r="A37" s="12" t="s">
        <v>219</v>
      </c>
      <c r="B37" s="10" t="s">
        <v>495</v>
      </c>
      <c r="C37" s="81">
        <f t="shared" si="0"/>
        <v>4386616</v>
      </c>
      <c r="D37" s="14">
        <v>3888262</v>
      </c>
      <c r="E37" s="44">
        <v>0</v>
      </c>
      <c r="F37" s="11">
        <v>498354</v>
      </c>
      <c r="G37" s="44">
        <v>0</v>
      </c>
      <c r="H37" s="11">
        <v>0</v>
      </c>
      <c r="I37" s="44">
        <v>0</v>
      </c>
      <c r="J37" s="11">
        <v>0</v>
      </c>
      <c r="K37" s="44">
        <v>0</v>
      </c>
      <c r="L37" s="81">
        <f t="shared" si="3"/>
        <v>4386616</v>
      </c>
    </row>
    <row r="38" spans="1:12" ht="15" hidden="1">
      <c r="A38" s="66" t="s">
        <v>487</v>
      </c>
      <c r="B38" s="67" t="s">
        <v>488</v>
      </c>
      <c r="C38" s="82">
        <f t="shared" si="0"/>
        <v>0</v>
      </c>
      <c r="D38" s="19">
        <v>0</v>
      </c>
      <c r="E38" s="94">
        <v>0</v>
      </c>
      <c r="F38" s="19">
        <v>0</v>
      </c>
      <c r="G38" s="199">
        <v>0</v>
      </c>
      <c r="H38" s="192">
        <v>0</v>
      </c>
      <c r="I38" s="199">
        <v>0</v>
      </c>
      <c r="J38" s="192">
        <v>0</v>
      </c>
      <c r="K38" s="199">
        <v>0</v>
      </c>
      <c r="L38" s="81">
        <f t="shared" si="3"/>
        <v>0</v>
      </c>
    </row>
    <row r="39" spans="1:12" ht="25.5">
      <c r="A39" s="6" t="s">
        <v>220</v>
      </c>
      <c r="B39" s="7" t="s">
        <v>221</v>
      </c>
      <c r="C39" s="80">
        <f t="shared" si="0"/>
        <v>191301</v>
      </c>
      <c r="D39" s="8">
        <f aca="true" t="shared" si="13" ref="D39:K39">SUM(D40:D41)</f>
        <v>176011</v>
      </c>
      <c r="E39" s="43">
        <f t="shared" si="13"/>
        <v>0</v>
      </c>
      <c r="F39" s="8">
        <f t="shared" si="13"/>
        <v>0</v>
      </c>
      <c r="G39" s="43">
        <f t="shared" si="13"/>
        <v>0</v>
      </c>
      <c r="H39" s="8">
        <f t="shared" si="13"/>
        <v>0</v>
      </c>
      <c r="I39" s="43">
        <f t="shared" si="13"/>
        <v>0</v>
      </c>
      <c r="J39" s="8">
        <f t="shared" si="13"/>
        <v>15290</v>
      </c>
      <c r="K39" s="43">
        <f t="shared" si="13"/>
        <v>0</v>
      </c>
      <c r="L39" s="81">
        <f t="shared" si="3"/>
        <v>191301</v>
      </c>
    </row>
    <row r="40" spans="1:12" ht="25.5">
      <c r="A40" s="12" t="s">
        <v>222</v>
      </c>
      <c r="B40" s="13" t="s">
        <v>496</v>
      </c>
      <c r="C40" s="81">
        <f t="shared" si="0"/>
        <v>191301</v>
      </c>
      <c r="D40" s="14">
        <v>176011</v>
      </c>
      <c r="E40" s="44">
        <v>0</v>
      </c>
      <c r="F40" s="11">
        <v>0</v>
      </c>
      <c r="G40" s="44">
        <v>0</v>
      </c>
      <c r="H40" s="11">
        <v>0</v>
      </c>
      <c r="I40" s="44">
        <v>0</v>
      </c>
      <c r="J40" s="11">
        <v>15290</v>
      </c>
      <c r="K40" s="44">
        <v>0</v>
      </c>
      <c r="L40" s="81">
        <f t="shared" si="3"/>
        <v>191301</v>
      </c>
    </row>
    <row r="41" spans="1:12" ht="15" hidden="1">
      <c r="A41" s="66" t="s">
        <v>487</v>
      </c>
      <c r="B41" s="67" t="s">
        <v>488</v>
      </c>
      <c r="C41" s="82">
        <f t="shared" si="0"/>
        <v>0</v>
      </c>
      <c r="D41" s="19">
        <v>0</v>
      </c>
      <c r="E41" s="94">
        <v>0</v>
      </c>
      <c r="F41" s="19">
        <v>0</v>
      </c>
      <c r="G41" s="199">
        <v>0</v>
      </c>
      <c r="H41" s="192">
        <v>0</v>
      </c>
      <c r="I41" s="199">
        <v>0</v>
      </c>
      <c r="J41" s="192">
        <v>0</v>
      </c>
      <c r="K41" s="199">
        <v>0</v>
      </c>
      <c r="L41" s="198">
        <f t="shared" si="3"/>
        <v>0</v>
      </c>
    </row>
    <row r="42" spans="1:12" ht="15">
      <c r="A42" s="39" t="s">
        <v>158</v>
      </c>
      <c r="B42" s="40" t="s">
        <v>159</v>
      </c>
      <c r="C42" s="5">
        <f t="shared" si="0"/>
        <v>16098109</v>
      </c>
      <c r="D42" s="41">
        <f aca="true" t="shared" si="14" ref="D42:K42">D43+D52+D57+D62</f>
        <v>13012712</v>
      </c>
      <c r="E42" s="42">
        <f t="shared" si="14"/>
        <v>256960</v>
      </c>
      <c r="F42" s="41">
        <f t="shared" si="14"/>
        <v>147298</v>
      </c>
      <c r="G42" s="194">
        <f t="shared" si="14"/>
        <v>0</v>
      </c>
      <c r="H42" s="193">
        <f t="shared" si="14"/>
        <v>2908099</v>
      </c>
      <c r="I42" s="194">
        <f t="shared" si="14"/>
        <v>700000</v>
      </c>
      <c r="J42" s="193">
        <f t="shared" si="14"/>
        <v>30000</v>
      </c>
      <c r="K42" s="194">
        <f t="shared" si="14"/>
        <v>0</v>
      </c>
      <c r="L42" s="191">
        <f t="shared" si="3"/>
        <v>17055069</v>
      </c>
    </row>
    <row r="43" spans="1:12" ht="15">
      <c r="A43" s="6" t="s">
        <v>223</v>
      </c>
      <c r="B43" s="7" t="s">
        <v>224</v>
      </c>
      <c r="C43" s="80">
        <f>D43+F43+H43+J43</f>
        <v>10834691</v>
      </c>
      <c r="D43" s="8">
        <f aca="true" t="shared" si="15" ref="D43:K43">SUM(D44:D51)</f>
        <v>8326359</v>
      </c>
      <c r="E43" s="43">
        <f t="shared" si="15"/>
        <v>256960</v>
      </c>
      <c r="F43" s="8">
        <f t="shared" si="15"/>
        <v>0</v>
      </c>
      <c r="G43" s="43">
        <f t="shared" si="15"/>
        <v>0</v>
      </c>
      <c r="H43" s="8">
        <f t="shared" si="15"/>
        <v>2508332</v>
      </c>
      <c r="I43" s="43">
        <f t="shared" si="15"/>
        <v>700000</v>
      </c>
      <c r="J43" s="8">
        <f t="shared" si="15"/>
        <v>0</v>
      </c>
      <c r="K43" s="8">
        <f t="shared" si="15"/>
        <v>0</v>
      </c>
      <c r="L43" s="81">
        <f>SUM(D43:K43)</f>
        <v>11791651</v>
      </c>
    </row>
    <row r="44" spans="1:12" ht="38.25">
      <c r="A44" s="12" t="s">
        <v>225</v>
      </c>
      <c r="B44" s="13" t="s">
        <v>226</v>
      </c>
      <c r="C44" s="81">
        <f aca="true" t="shared" si="16" ref="C44:C82">D44+F44+H44+J44</f>
        <v>2104101</v>
      </c>
      <c r="D44" s="14">
        <v>535552</v>
      </c>
      <c r="E44" s="44">
        <v>0</v>
      </c>
      <c r="F44" s="11">
        <v>0</v>
      </c>
      <c r="G44" s="44">
        <v>0</v>
      </c>
      <c r="H44" s="11">
        <v>1568549</v>
      </c>
      <c r="I44" s="44">
        <v>0</v>
      </c>
      <c r="J44" s="11">
        <v>0</v>
      </c>
      <c r="K44" s="44">
        <v>0</v>
      </c>
      <c r="L44" s="81">
        <f aca="true" t="shared" si="17" ref="L44:L82">SUM(D44:K44)</f>
        <v>2104101</v>
      </c>
    </row>
    <row r="45" spans="1:12" ht="38.25">
      <c r="A45" s="12" t="s">
        <v>227</v>
      </c>
      <c r="B45" s="10" t="s">
        <v>430</v>
      </c>
      <c r="C45" s="81">
        <f t="shared" si="16"/>
        <v>2496650</v>
      </c>
      <c r="D45" s="14">
        <v>1741901</v>
      </c>
      <c r="E45" s="44">
        <v>0</v>
      </c>
      <c r="F45" s="11">
        <v>0</v>
      </c>
      <c r="G45" s="44">
        <v>0</v>
      </c>
      <c r="H45" s="11">
        <v>754749</v>
      </c>
      <c r="I45" s="44">
        <v>0</v>
      </c>
      <c r="J45" s="11">
        <v>0</v>
      </c>
      <c r="K45" s="44">
        <v>0</v>
      </c>
      <c r="L45" s="81">
        <f t="shared" si="17"/>
        <v>2496650</v>
      </c>
    </row>
    <row r="46" spans="1:12" ht="51">
      <c r="A46" s="9" t="s">
        <v>498</v>
      </c>
      <c r="B46" s="10" t="s">
        <v>497</v>
      </c>
      <c r="C46" s="81">
        <f t="shared" si="16"/>
        <v>282607</v>
      </c>
      <c r="D46" s="11">
        <v>282607</v>
      </c>
      <c r="E46" s="44">
        <v>23560</v>
      </c>
      <c r="F46" s="11">
        <v>0</v>
      </c>
      <c r="G46" s="44">
        <v>0</v>
      </c>
      <c r="H46" s="11">
        <v>0</v>
      </c>
      <c r="I46" s="44">
        <v>0</v>
      </c>
      <c r="J46" s="11">
        <v>0</v>
      </c>
      <c r="K46" s="44">
        <v>0</v>
      </c>
      <c r="L46" s="81">
        <f t="shared" si="17"/>
        <v>306167</v>
      </c>
    </row>
    <row r="47" spans="1:12" ht="25.5">
      <c r="A47" s="9" t="s">
        <v>752</v>
      </c>
      <c r="B47" s="10" t="s">
        <v>753</v>
      </c>
      <c r="C47" s="81">
        <f t="shared" si="16"/>
        <v>789195</v>
      </c>
      <c r="D47" s="11">
        <v>704349</v>
      </c>
      <c r="E47" s="44">
        <v>0</v>
      </c>
      <c r="F47" s="11">
        <v>0</v>
      </c>
      <c r="G47" s="44">
        <v>0</v>
      </c>
      <c r="H47" s="11">
        <v>84846</v>
      </c>
      <c r="I47" s="44">
        <v>0</v>
      </c>
      <c r="J47" s="11">
        <v>0</v>
      </c>
      <c r="K47" s="44">
        <v>0</v>
      </c>
      <c r="L47" s="81">
        <f t="shared" si="17"/>
        <v>789195</v>
      </c>
    </row>
    <row r="48" spans="1:12" ht="25.5">
      <c r="A48" s="9" t="s">
        <v>853</v>
      </c>
      <c r="B48" s="10" t="s">
        <v>854</v>
      </c>
      <c r="C48" s="81">
        <f t="shared" si="16"/>
        <v>4830019</v>
      </c>
      <c r="D48" s="11">
        <v>4830019</v>
      </c>
      <c r="E48" s="44">
        <v>0</v>
      </c>
      <c r="F48" s="11">
        <v>0</v>
      </c>
      <c r="G48" s="44">
        <v>0</v>
      </c>
      <c r="H48" s="11">
        <v>0</v>
      </c>
      <c r="I48" s="44">
        <v>0</v>
      </c>
      <c r="J48" s="11">
        <v>0</v>
      </c>
      <c r="K48" s="44">
        <v>0</v>
      </c>
      <c r="L48" s="81">
        <f t="shared" si="17"/>
        <v>4830019</v>
      </c>
    </row>
    <row r="49" spans="1:12" ht="51">
      <c r="A49" s="9" t="s">
        <v>915</v>
      </c>
      <c r="B49" s="10" t="s">
        <v>916</v>
      </c>
      <c r="C49" s="81">
        <f t="shared" si="16"/>
        <v>100188</v>
      </c>
      <c r="D49" s="11">
        <v>0</v>
      </c>
      <c r="E49" s="44">
        <v>0</v>
      </c>
      <c r="F49" s="11">
        <v>0</v>
      </c>
      <c r="G49" s="44">
        <v>0</v>
      </c>
      <c r="H49" s="11">
        <v>100188</v>
      </c>
      <c r="I49" s="44">
        <v>0</v>
      </c>
      <c r="J49" s="11">
        <v>0</v>
      </c>
      <c r="K49" s="44">
        <v>0</v>
      </c>
      <c r="L49" s="81">
        <f t="shared" si="17"/>
        <v>100188</v>
      </c>
    </row>
    <row r="50" spans="1:12" ht="25.5">
      <c r="A50" s="9" t="s">
        <v>917</v>
      </c>
      <c r="B50" s="10" t="s">
        <v>918</v>
      </c>
      <c r="C50" s="81">
        <f t="shared" si="16"/>
        <v>231931</v>
      </c>
      <c r="D50" s="11">
        <v>231931</v>
      </c>
      <c r="E50" s="44">
        <v>0</v>
      </c>
      <c r="F50" s="11">
        <v>0</v>
      </c>
      <c r="G50" s="44">
        <v>0</v>
      </c>
      <c r="H50" s="11">
        <v>0</v>
      </c>
      <c r="I50" s="44">
        <v>0</v>
      </c>
      <c r="J50" s="11">
        <v>0</v>
      </c>
      <c r="K50" s="44">
        <v>0</v>
      </c>
      <c r="L50" s="81">
        <f t="shared" si="17"/>
        <v>231931</v>
      </c>
    </row>
    <row r="51" spans="1:12" s="206" customFormat="1" ht="38.25">
      <c r="A51" s="9" t="s">
        <v>932</v>
      </c>
      <c r="B51" s="10" t="s">
        <v>933</v>
      </c>
      <c r="C51" s="81">
        <f>D51+F51+H51+J51</f>
        <v>0</v>
      </c>
      <c r="D51" s="11">
        <v>0</v>
      </c>
      <c r="E51" s="44">
        <f>198390+35010</f>
        <v>233400</v>
      </c>
      <c r="F51" s="11">
        <v>0</v>
      </c>
      <c r="G51" s="44">
        <v>0</v>
      </c>
      <c r="H51" s="11">
        <v>0</v>
      </c>
      <c r="I51" s="44">
        <v>700000</v>
      </c>
      <c r="J51" s="11">
        <v>0</v>
      </c>
      <c r="K51" s="44"/>
      <c r="L51" s="81">
        <f>SUM(D51:K51)</f>
        <v>933400</v>
      </c>
    </row>
    <row r="52" spans="1:12" ht="15">
      <c r="A52" s="6" t="s">
        <v>228</v>
      </c>
      <c r="B52" s="7" t="s">
        <v>229</v>
      </c>
      <c r="C52" s="80">
        <f t="shared" si="16"/>
        <v>950580</v>
      </c>
      <c r="D52" s="8">
        <f aca="true" t="shared" si="18" ref="D52:K52">SUM(D53:D56)</f>
        <v>592664</v>
      </c>
      <c r="E52" s="45">
        <f t="shared" si="18"/>
        <v>0</v>
      </c>
      <c r="F52" s="17">
        <f t="shared" si="18"/>
        <v>112029</v>
      </c>
      <c r="G52" s="45">
        <f t="shared" si="18"/>
        <v>0</v>
      </c>
      <c r="H52" s="17">
        <f t="shared" si="18"/>
        <v>215887</v>
      </c>
      <c r="I52" s="45">
        <f t="shared" si="18"/>
        <v>0</v>
      </c>
      <c r="J52" s="17">
        <f t="shared" si="18"/>
        <v>30000</v>
      </c>
      <c r="K52" s="45">
        <f t="shared" si="18"/>
        <v>0</v>
      </c>
      <c r="L52" s="81">
        <f t="shared" si="17"/>
        <v>950580</v>
      </c>
    </row>
    <row r="53" spans="1:12" ht="25.5">
      <c r="A53" s="12" t="s">
        <v>230</v>
      </c>
      <c r="B53" s="13" t="s">
        <v>499</v>
      </c>
      <c r="C53" s="81">
        <f t="shared" si="16"/>
        <v>734693</v>
      </c>
      <c r="D53" s="14">
        <v>592664</v>
      </c>
      <c r="E53" s="44">
        <v>0</v>
      </c>
      <c r="F53" s="11">
        <v>112029</v>
      </c>
      <c r="G53" s="44">
        <v>0</v>
      </c>
      <c r="H53" s="11">
        <v>0</v>
      </c>
      <c r="I53" s="44">
        <v>0</v>
      </c>
      <c r="J53" s="11">
        <v>30000</v>
      </c>
      <c r="K53" s="44">
        <v>0</v>
      </c>
      <c r="L53" s="81">
        <f t="shared" si="17"/>
        <v>734693</v>
      </c>
    </row>
    <row r="54" spans="1:12" ht="51">
      <c r="A54" s="9" t="s">
        <v>431</v>
      </c>
      <c r="B54" s="10" t="s">
        <v>453</v>
      </c>
      <c r="C54" s="81">
        <f t="shared" si="16"/>
        <v>215887</v>
      </c>
      <c r="D54" s="14">
        <v>0</v>
      </c>
      <c r="E54" s="44">
        <v>0</v>
      </c>
      <c r="F54" s="11">
        <v>0</v>
      </c>
      <c r="G54" s="44">
        <v>0</v>
      </c>
      <c r="H54" s="11">
        <v>215887</v>
      </c>
      <c r="I54" s="44">
        <v>0</v>
      </c>
      <c r="J54" s="11">
        <v>0</v>
      </c>
      <c r="K54" s="44">
        <v>0</v>
      </c>
      <c r="L54" s="81">
        <f t="shared" si="17"/>
        <v>215887</v>
      </c>
    </row>
    <row r="55" spans="1:12" ht="15" hidden="1">
      <c r="A55" s="85" t="s">
        <v>487</v>
      </c>
      <c r="B55" s="86" t="s">
        <v>488</v>
      </c>
      <c r="C55" s="82">
        <f t="shared" si="16"/>
        <v>0</v>
      </c>
      <c r="D55" s="19">
        <v>0</v>
      </c>
      <c r="E55" s="94">
        <v>0</v>
      </c>
      <c r="F55" s="19">
        <v>0</v>
      </c>
      <c r="G55" s="199">
        <v>0</v>
      </c>
      <c r="H55" s="192">
        <v>0</v>
      </c>
      <c r="I55" s="199">
        <v>0</v>
      </c>
      <c r="J55" s="192">
        <v>0</v>
      </c>
      <c r="K55" s="199">
        <v>0</v>
      </c>
      <c r="L55" s="198">
        <f t="shared" si="17"/>
        <v>0</v>
      </c>
    </row>
    <row r="56" spans="1:12" ht="15" hidden="1">
      <c r="A56" s="85" t="s">
        <v>487</v>
      </c>
      <c r="B56" s="86" t="s">
        <v>488</v>
      </c>
      <c r="C56" s="82">
        <f t="shared" si="16"/>
        <v>0</v>
      </c>
      <c r="D56" s="19">
        <v>0</v>
      </c>
      <c r="E56" s="94">
        <v>0</v>
      </c>
      <c r="F56" s="19">
        <v>0</v>
      </c>
      <c r="G56" s="199">
        <v>0</v>
      </c>
      <c r="H56" s="192">
        <v>0</v>
      </c>
      <c r="I56" s="199">
        <v>0</v>
      </c>
      <c r="J56" s="192">
        <v>0</v>
      </c>
      <c r="K56" s="199">
        <v>0</v>
      </c>
      <c r="L56" s="198">
        <f t="shared" si="17"/>
        <v>0</v>
      </c>
    </row>
    <row r="57" spans="1:12" ht="15">
      <c r="A57" s="15" t="s">
        <v>232</v>
      </c>
      <c r="B57" s="16" t="s">
        <v>233</v>
      </c>
      <c r="C57" s="80">
        <f t="shared" si="16"/>
        <v>4105272</v>
      </c>
      <c r="D57" s="17">
        <f aca="true" t="shared" si="19" ref="D57:K57">SUM(D58:D61)</f>
        <v>3921392</v>
      </c>
      <c r="E57" s="45">
        <f t="shared" si="19"/>
        <v>0</v>
      </c>
      <c r="F57" s="17">
        <f t="shared" si="19"/>
        <v>0</v>
      </c>
      <c r="G57" s="45">
        <f t="shared" si="19"/>
        <v>0</v>
      </c>
      <c r="H57" s="17">
        <f t="shared" si="19"/>
        <v>183880</v>
      </c>
      <c r="I57" s="45">
        <f t="shared" si="19"/>
        <v>0</v>
      </c>
      <c r="J57" s="17">
        <f t="shared" si="19"/>
        <v>0</v>
      </c>
      <c r="K57" s="45">
        <f t="shared" si="19"/>
        <v>0</v>
      </c>
      <c r="L57" s="81">
        <f t="shared" si="17"/>
        <v>4105272</v>
      </c>
    </row>
    <row r="58" spans="1:12" ht="25.5">
      <c r="A58" s="9" t="s">
        <v>438</v>
      </c>
      <c r="B58" s="10" t="s">
        <v>432</v>
      </c>
      <c r="C58" s="81">
        <f t="shared" si="16"/>
        <v>3903611</v>
      </c>
      <c r="D58" s="11">
        <v>3828923</v>
      </c>
      <c r="E58" s="44">
        <v>0</v>
      </c>
      <c r="F58" s="11">
        <v>0</v>
      </c>
      <c r="G58" s="44">
        <v>0</v>
      </c>
      <c r="H58" s="11">
        <v>74688</v>
      </c>
      <c r="I58" s="44">
        <v>0</v>
      </c>
      <c r="J58" s="11">
        <v>0</v>
      </c>
      <c r="K58" s="44">
        <v>0</v>
      </c>
      <c r="L58" s="81">
        <f t="shared" si="17"/>
        <v>3903611</v>
      </c>
    </row>
    <row r="59" spans="1:12" ht="25.5">
      <c r="A59" s="9" t="s">
        <v>439</v>
      </c>
      <c r="B59" s="10" t="s">
        <v>469</v>
      </c>
      <c r="C59" s="81">
        <f t="shared" si="16"/>
        <v>42264</v>
      </c>
      <c r="D59" s="11">
        <v>28207</v>
      </c>
      <c r="E59" s="44">
        <v>0</v>
      </c>
      <c r="F59" s="11">
        <v>0</v>
      </c>
      <c r="G59" s="44">
        <v>0</v>
      </c>
      <c r="H59" s="11">
        <v>14057</v>
      </c>
      <c r="I59" s="44">
        <v>0</v>
      </c>
      <c r="J59" s="11">
        <v>0</v>
      </c>
      <c r="K59" s="44">
        <v>0</v>
      </c>
      <c r="L59" s="81">
        <f t="shared" si="17"/>
        <v>42264</v>
      </c>
    </row>
    <row r="60" spans="1:12" ht="25.5">
      <c r="A60" s="58" t="s">
        <v>454</v>
      </c>
      <c r="B60" s="59" t="s">
        <v>455</v>
      </c>
      <c r="C60" s="81">
        <f t="shared" si="16"/>
        <v>159397</v>
      </c>
      <c r="D60" s="11">
        <v>64262</v>
      </c>
      <c r="E60" s="44">
        <v>0</v>
      </c>
      <c r="F60" s="11">
        <v>0</v>
      </c>
      <c r="G60" s="44">
        <v>0</v>
      </c>
      <c r="H60" s="11">
        <v>95135</v>
      </c>
      <c r="I60" s="44">
        <v>0</v>
      </c>
      <c r="J60" s="11">
        <v>0</v>
      </c>
      <c r="K60" s="44">
        <v>0</v>
      </c>
      <c r="L60" s="81">
        <f t="shared" si="17"/>
        <v>159397</v>
      </c>
    </row>
    <row r="61" spans="1:12" ht="15" hidden="1">
      <c r="A61" s="85" t="s">
        <v>487</v>
      </c>
      <c r="B61" s="86" t="s">
        <v>488</v>
      </c>
      <c r="C61" s="82">
        <f t="shared" si="16"/>
        <v>0</v>
      </c>
      <c r="D61" s="19">
        <v>0</v>
      </c>
      <c r="E61" s="94">
        <v>0</v>
      </c>
      <c r="F61" s="19">
        <v>0</v>
      </c>
      <c r="G61" s="199">
        <v>0</v>
      </c>
      <c r="H61" s="192">
        <v>0</v>
      </c>
      <c r="I61" s="199">
        <v>0</v>
      </c>
      <c r="J61" s="192">
        <v>0</v>
      </c>
      <c r="K61" s="199"/>
      <c r="L61" s="81">
        <f t="shared" si="17"/>
        <v>0</v>
      </c>
    </row>
    <row r="62" spans="1:12" ht="25.5">
      <c r="A62" s="6" t="s">
        <v>234</v>
      </c>
      <c r="B62" s="7" t="s">
        <v>235</v>
      </c>
      <c r="C62" s="80">
        <f t="shared" si="16"/>
        <v>207566</v>
      </c>
      <c r="D62" s="8">
        <f aca="true" t="shared" si="20" ref="D62:K62">SUM(D63:D66)</f>
        <v>172297</v>
      </c>
      <c r="E62" s="45">
        <f t="shared" si="20"/>
        <v>0</v>
      </c>
      <c r="F62" s="17">
        <f t="shared" si="20"/>
        <v>35269</v>
      </c>
      <c r="G62" s="45">
        <f t="shared" si="20"/>
        <v>0</v>
      </c>
      <c r="H62" s="17">
        <f t="shared" si="20"/>
        <v>0</v>
      </c>
      <c r="I62" s="45">
        <f t="shared" si="20"/>
        <v>0</v>
      </c>
      <c r="J62" s="17">
        <f t="shared" si="20"/>
        <v>0</v>
      </c>
      <c r="K62" s="45">
        <f t="shared" si="20"/>
        <v>0</v>
      </c>
      <c r="L62" s="81">
        <f t="shared" si="17"/>
        <v>207566</v>
      </c>
    </row>
    <row r="63" spans="1:12" ht="38.25">
      <c r="A63" s="12" t="s">
        <v>236</v>
      </c>
      <c r="B63" s="13" t="s">
        <v>237</v>
      </c>
      <c r="C63" s="81">
        <f t="shared" si="16"/>
        <v>78715</v>
      </c>
      <c r="D63" s="14">
        <v>78715</v>
      </c>
      <c r="E63" s="44">
        <v>0</v>
      </c>
      <c r="F63" s="11">
        <v>0</v>
      </c>
      <c r="G63" s="44">
        <v>0</v>
      </c>
      <c r="H63" s="11">
        <v>0</v>
      </c>
      <c r="I63" s="44">
        <v>0</v>
      </c>
      <c r="J63" s="11">
        <v>0</v>
      </c>
      <c r="K63" s="44">
        <v>0</v>
      </c>
      <c r="L63" s="81">
        <f t="shared" si="17"/>
        <v>78715</v>
      </c>
    </row>
    <row r="64" spans="1:12" s="49" customFormat="1" ht="25.5">
      <c r="A64" s="9" t="s">
        <v>238</v>
      </c>
      <c r="B64" s="10" t="s">
        <v>239</v>
      </c>
      <c r="C64" s="81">
        <f t="shared" si="16"/>
        <v>10000</v>
      </c>
      <c r="D64" s="11">
        <v>10000</v>
      </c>
      <c r="E64" s="44">
        <v>0</v>
      </c>
      <c r="F64" s="11">
        <v>0</v>
      </c>
      <c r="G64" s="44">
        <v>0</v>
      </c>
      <c r="H64" s="11">
        <v>0</v>
      </c>
      <c r="I64" s="44">
        <v>0</v>
      </c>
      <c r="J64" s="11">
        <v>0</v>
      </c>
      <c r="K64" s="44">
        <v>0</v>
      </c>
      <c r="L64" s="81">
        <f t="shared" si="17"/>
        <v>10000</v>
      </c>
    </row>
    <row r="65" spans="1:12" s="49" customFormat="1" ht="38.25">
      <c r="A65" s="12" t="s">
        <v>240</v>
      </c>
      <c r="B65" s="10" t="s">
        <v>241</v>
      </c>
      <c r="C65" s="81">
        <f t="shared" si="16"/>
        <v>50000</v>
      </c>
      <c r="D65" s="11">
        <v>50000</v>
      </c>
      <c r="E65" s="44">
        <v>0</v>
      </c>
      <c r="F65" s="11">
        <v>0</v>
      </c>
      <c r="G65" s="44">
        <v>0</v>
      </c>
      <c r="H65" s="11">
        <v>0</v>
      </c>
      <c r="I65" s="44">
        <v>0</v>
      </c>
      <c r="J65" s="11">
        <v>0</v>
      </c>
      <c r="K65" s="44">
        <v>0</v>
      </c>
      <c r="L65" s="81">
        <f t="shared" si="17"/>
        <v>50000</v>
      </c>
    </row>
    <row r="66" spans="1:12" ht="51">
      <c r="A66" s="12" t="s">
        <v>919</v>
      </c>
      <c r="B66" s="10" t="s">
        <v>920</v>
      </c>
      <c r="C66" s="81">
        <f t="shared" si="16"/>
        <v>68851</v>
      </c>
      <c r="D66" s="14">
        <v>33582</v>
      </c>
      <c r="E66" s="44">
        <v>0</v>
      </c>
      <c r="F66" s="11">
        <v>35269</v>
      </c>
      <c r="G66" s="44">
        <v>0</v>
      </c>
      <c r="H66" s="11">
        <v>0</v>
      </c>
      <c r="I66" s="44">
        <v>0</v>
      </c>
      <c r="J66" s="11">
        <v>0</v>
      </c>
      <c r="K66" s="44">
        <v>0</v>
      </c>
      <c r="L66" s="81">
        <f t="shared" si="17"/>
        <v>68851</v>
      </c>
    </row>
    <row r="67" spans="1:12" ht="15">
      <c r="A67" s="39" t="s">
        <v>160</v>
      </c>
      <c r="B67" s="40" t="s">
        <v>161</v>
      </c>
      <c r="C67" s="5">
        <f>D67+F67+H67+J67</f>
        <v>2950351</v>
      </c>
      <c r="D67" s="41">
        <f aca="true" t="shared" si="21" ref="D67:K67">D68+D71+D73+D79+D76</f>
        <v>2930351</v>
      </c>
      <c r="E67" s="42">
        <f t="shared" si="21"/>
        <v>0</v>
      </c>
      <c r="F67" s="41">
        <f t="shared" si="21"/>
        <v>0</v>
      </c>
      <c r="G67" s="194">
        <f t="shared" si="21"/>
        <v>0</v>
      </c>
      <c r="H67" s="193">
        <f t="shared" si="21"/>
        <v>20000</v>
      </c>
      <c r="I67" s="194">
        <f t="shared" si="21"/>
        <v>0</v>
      </c>
      <c r="J67" s="193">
        <f t="shared" si="21"/>
        <v>0</v>
      </c>
      <c r="K67" s="194">
        <f t="shared" si="21"/>
        <v>0</v>
      </c>
      <c r="L67" s="191">
        <f>SUM(D67:K67)</f>
        <v>2950351</v>
      </c>
    </row>
    <row r="68" spans="1:12" ht="15">
      <c r="A68" s="6" t="s">
        <v>242</v>
      </c>
      <c r="B68" s="7" t="s">
        <v>243</v>
      </c>
      <c r="C68" s="80">
        <f t="shared" si="16"/>
        <v>2258378</v>
      </c>
      <c r="D68" s="8">
        <f>SUM(D69:D70)</f>
        <v>2258378</v>
      </c>
      <c r="E68" s="43">
        <f aca="true" t="shared" si="22" ref="E68:K68">SUM(E69:E70)</f>
        <v>0</v>
      </c>
      <c r="F68" s="8">
        <f t="shared" si="22"/>
        <v>0</v>
      </c>
      <c r="G68" s="43">
        <f t="shared" si="22"/>
        <v>0</v>
      </c>
      <c r="H68" s="8">
        <f t="shared" si="22"/>
        <v>0</v>
      </c>
      <c r="I68" s="43">
        <f t="shared" si="22"/>
        <v>0</v>
      </c>
      <c r="J68" s="8">
        <f t="shared" si="22"/>
        <v>0</v>
      </c>
      <c r="K68" s="43">
        <f t="shared" si="22"/>
        <v>0</v>
      </c>
      <c r="L68" s="81">
        <f t="shared" si="17"/>
        <v>2258378</v>
      </c>
    </row>
    <row r="69" spans="1:12" ht="38.25">
      <c r="A69" s="12" t="s">
        <v>244</v>
      </c>
      <c r="B69" s="13" t="s">
        <v>245</v>
      </c>
      <c r="C69" s="81">
        <f>D69+F69+H69+J69</f>
        <v>1471639</v>
      </c>
      <c r="D69" s="14">
        <v>1471639</v>
      </c>
      <c r="E69" s="44">
        <v>0</v>
      </c>
      <c r="F69" s="11">
        <v>0</v>
      </c>
      <c r="G69" s="195">
        <v>0</v>
      </c>
      <c r="H69" s="11">
        <v>0</v>
      </c>
      <c r="I69" s="195">
        <v>0</v>
      </c>
      <c r="J69" s="11">
        <v>0</v>
      </c>
      <c r="K69" s="195">
        <v>0</v>
      </c>
      <c r="L69" s="81">
        <f t="shared" si="17"/>
        <v>1471639</v>
      </c>
    </row>
    <row r="70" spans="1:12" ht="15">
      <c r="A70" s="12" t="s">
        <v>246</v>
      </c>
      <c r="B70" s="13" t="s">
        <v>456</v>
      </c>
      <c r="C70" s="81">
        <f t="shared" si="16"/>
        <v>786739</v>
      </c>
      <c r="D70" s="14">
        <v>786739</v>
      </c>
      <c r="E70" s="44">
        <v>0</v>
      </c>
      <c r="F70" s="11">
        <v>0</v>
      </c>
      <c r="G70" s="195">
        <v>0</v>
      </c>
      <c r="H70" s="11">
        <v>0</v>
      </c>
      <c r="I70" s="195">
        <v>0</v>
      </c>
      <c r="J70" s="11">
        <v>0</v>
      </c>
      <c r="K70" s="195">
        <v>0</v>
      </c>
      <c r="L70" s="81">
        <f t="shared" si="17"/>
        <v>786739</v>
      </c>
    </row>
    <row r="71" spans="1:12" ht="15">
      <c r="A71" s="6" t="s">
        <v>247</v>
      </c>
      <c r="B71" s="7" t="s">
        <v>248</v>
      </c>
      <c r="C71" s="80">
        <f t="shared" si="16"/>
        <v>467510</v>
      </c>
      <c r="D71" s="17">
        <f>D72</f>
        <v>467510</v>
      </c>
      <c r="E71" s="45">
        <f aca="true" t="shared" si="23" ref="E71:K71">E72</f>
        <v>0</v>
      </c>
      <c r="F71" s="17">
        <f t="shared" si="23"/>
        <v>0</v>
      </c>
      <c r="G71" s="45">
        <f t="shared" si="23"/>
        <v>0</v>
      </c>
      <c r="H71" s="17">
        <f t="shared" si="23"/>
        <v>0</v>
      </c>
      <c r="I71" s="45">
        <f t="shared" si="23"/>
        <v>0</v>
      </c>
      <c r="J71" s="17">
        <f t="shared" si="23"/>
        <v>0</v>
      </c>
      <c r="K71" s="45">
        <f t="shared" si="23"/>
        <v>0</v>
      </c>
      <c r="L71" s="81">
        <f t="shared" si="17"/>
        <v>467510</v>
      </c>
    </row>
    <row r="72" spans="1:12" ht="15">
      <c r="A72" s="12" t="s">
        <v>249</v>
      </c>
      <c r="B72" s="13" t="s">
        <v>248</v>
      </c>
      <c r="C72" s="81">
        <f t="shared" si="16"/>
        <v>467510</v>
      </c>
      <c r="D72" s="14">
        <v>467510</v>
      </c>
      <c r="E72" s="44">
        <v>0</v>
      </c>
      <c r="F72" s="11">
        <v>0</v>
      </c>
      <c r="G72" s="44">
        <v>0</v>
      </c>
      <c r="H72" s="11">
        <v>0</v>
      </c>
      <c r="I72" s="44">
        <v>0</v>
      </c>
      <c r="J72" s="11">
        <v>0</v>
      </c>
      <c r="K72" s="44">
        <v>0</v>
      </c>
      <c r="L72" s="81">
        <f t="shared" si="17"/>
        <v>467510</v>
      </c>
    </row>
    <row r="73" spans="1:12" ht="25.5">
      <c r="A73" s="15" t="s">
        <v>250</v>
      </c>
      <c r="B73" s="16" t="s">
        <v>251</v>
      </c>
      <c r="C73" s="80">
        <f t="shared" si="16"/>
        <v>181063</v>
      </c>
      <c r="D73" s="17">
        <f>SUM(D74:D75)</f>
        <v>181063</v>
      </c>
      <c r="E73" s="45">
        <f aca="true" t="shared" si="24" ref="E73:K73">SUM(E74:E75)</f>
        <v>0</v>
      </c>
      <c r="F73" s="17">
        <f t="shared" si="24"/>
        <v>0</v>
      </c>
      <c r="G73" s="45">
        <f t="shared" si="24"/>
        <v>0</v>
      </c>
      <c r="H73" s="17">
        <f t="shared" si="24"/>
        <v>0</v>
      </c>
      <c r="I73" s="45">
        <f t="shared" si="24"/>
        <v>0</v>
      </c>
      <c r="J73" s="17">
        <f t="shared" si="24"/>
        <v>0</v>
      </c>
      <c r="K73" s="45">
        <f t="shared" si="24"/>
        <v>0</v>
      </c>
      <c r="L73" s="81">
        <f t="shared" si="17"/>
        <v>181063</v>
      </c>
    </row>
    <row r="74" spans="1:12" ht="38.25">
      <c r="A74" s="9" t="s">
        <v>252</v>
      </c>
      <c r="B74" s="10" t="s">
        <v>433</v>
      </c>
      <c r="C74" s="81">
        <f t="shared" si="16"/>
        <v>181063</v>
      </c>
      <c r="D74" s="11">
        <v>181063</v>
      </c>
      <c r="E74" s="44">
        <v>0</v>
      </c>
      <c r="F74" s="11">
        <v>0</v>
      </c>
      <c r="G74" s="44">
        <v>0</v>
      </c>
      <c r="H74" s="11">
        <v>0</v>
      </c>
      <c r="I74" s="44">
        <v>0</v>
      </c>
      <c r="J74" s="11">
        <v>0</v>
      </c>
      <c r="K74" s="44">
        <v>0</v>
      </c>
      <c r="L74" s="81">
        <f t="shared" si="17"/>
        <v>181063</v>
      </c>
    </row>
    <row r="75" spans="1:12" ht="15" hidden="1">
      <c r="A75" s="66" t="s">
        <v>487</v>
      </c>
      <c r="B75" s="67" t="s">
        <v>488</v>
      </c>
      <c r="C75" s="82">
        <f t="shared" si="16"/>
        <v>0</v>
      </c>
      <c r="D75" s="19">
        <v>0</v>
      </c>
      <c r="E75" s="94">
        <v>0</v>
      </c>
      <c r="F75" s="19">
        <v>0</v>
      </c>
      <c r="G75" s="199">
        <v>0</v>
      </c>
      <c r="H75" s="192">
        <v>0</v>
      </c>
      <c r="I75" s="199">
        <v>0</v>
      </c>
      <c r="J75" s="192">
        <v>0</v>
      </c>
      <c r="K75" s="199">
        <v>0</v>
      </c>
      <c r="L75" s="81">
        <f t="shared" si="17"/>
        <v>0</v>
      </c>
    </row>
    <row r="76" spans="1:12" ht="25.5">
      <c r="A76" s="15" t="s">
        <v>866</v>
      </c>
      <c r="B76" s="16" t="s">
        <v>867</v>
      </c>
      <c r="C76" s="81">
        <f>D76+F76+H76+J76</f>
        <v>43400</v>
      </c>
      <c r="D76" s="17">
        <f>SUM(D77:D78)</f>
        <v>23400</v>
      </c>
      <c r="E76" s="45">
        <f aca="true" t="shared" si="25" ref="E76:K76">SUM(E77:E78)</f>
        <v>0</v>
      </c>
      <c r="F76" s="17">
        <f t="shared" si="25"/>
        <v>0</v>
      </c>
      <c r="G76" s="45">
        <f t="shared" si="25"/>
        <v>0</v>
      </c>
      <c r="H76" s="17">
        <f t="shared" si="25"/>
        <v>20000</v>
      </c>
      <c r="I76" s="45">
        <f t="shared" si="25"/>
        <v>0</v>
      </c>
      <c r="J76" s="17">
        <f t="shared" si="25"/>
        <v>0</v>
      </c>
      <c r="K76" s="45">
        <f t="shared" si="25"/>
        <v>0</v>
      </c>
      <c r="L76" s="81">
        <f>SUM(D76:K76)</f>
        <v>43400</v>
      </c>
    </row>
    <row r="77" spans="1:12" ht="51">
      <c r="A77" s="9" t="s">
        <v>868</v>
      </c>
      <c r="B77" s="10" t="s">
        <v>869</v>
      </c>
      <c r="C77" s="81">
        <f>D77+F77+H77+J77</f>
        <v>43400</v>
      </c>
      <c r="D77" s="22">
        <v>23400</v>
      </c>
      <c r="E77" s="140">
        <v>0</v>
      </c>
      <c r="F77" s="11">
        <v>0</v>
      </c>
      <c r="G77" s="140">
        <v>0</v>
      </c>
      <c r="H77" s="11">
        <v>20000</v>
      </c>
      <c r="I77" s="140">
        <v>0</v>
      </c>
      <c r="J77" s="11">
        <v>0</v>
      </c>
      <c r="K77" s="140">
        <v>0</v>
      </c>
      <c r="L77" s="81">
        <f>SUM(D77:K77)</f>
        <v>43400</v>
      </c>
    </row>
    <row r="78" spans="1:12" ht="15" hidden="1">
      <c r="A78" s="66" t="s">
        <v>487</v>
      </c>
      <c r="B78" s="67" t="s">
        <v>488</v>
      </c>
      <c r="C78" s="82">
        <f>D78+F78+H78+J78</f>
        <v>0</v>
      </c>
      <c r="D78" s="177">
        <v>0</v>
      </c>
      <c r="E78" s="94">
        <v>0</v>
      </c>
      <c r="F78" s="19">
        <v>0</v>
      </c>
      <c r="G78" s="199">
        <v>0</v>
      </c>
      <c r="H78" s="192">
        <v>0</v>
      </c>
      <c r="I78" s="199">
        <v>0</v>
      </c>
      <c r="J78" s="192">
        <v>0</v>
      </c>
      <c r="K78" s="199">
        <v>0</v>
      </c>
      <c r="L78" s="198">
        <f>SUM(D78:K78)</f>
        <v>0</v>
      </c>
    </row>
    <row r="79" spans="1:12" ht="25.5" hidden="1">
      <c r="A79" s="179" t="s">
        <v>253</v>
      </c>
      <c r="B79" s="180" t="s">
        <v>254</v>
      </c>
      <c r="C79" s="82">
        <f t="shared" si="16"/>
        <v>0</v>
      </c>
      <c r="D79" s="178">
        <f>SUM(D80:D81)</f>
        <v>0</v>
      </c>
      <c r="E79" s="181">
        <f aca="true" t="shared" si="26" ref="E79:K79">SUM(E80:E81)</f>
        <v>0</v>
      </c>
      <c r="F79" s="178">
        <f t="shared" si="26"/>
        <v>0</v>
      </c>
      <c r="G79" s="181">
        <f t="shared" si="26"/>
        <v>0</v>
      </c>
      <c r="H79" s="178">
        <f t="shared" si="26"/>
        <v>0</v>
      </c>
      <c r="I79" s="181">
        <f t="shared" si="26"/>
        <v>0</v>
      </c>
      <c r="J79" s="178">
        <f t="shared" si="26"/>
        <v>0</v>
      </c>
      <c r="K79" s="181">
        <f t="shared" si="26"/>
        <v>0</v>
      </c>
      <c r="L79" s="198">
        <f t="shared" si="17"/>
        <v>0</v>
      </c>
    </row>
    <row r="80" spans="1:12" ht="15" hidden="1">
      <c r="A80" s="66" t="s">
        <v>487</v>
      </c>
      <c r="B80" s="67" t="s">
        <v>488</v>
      </c>
      <c r="C80" s="82">
        <f t="shared" si="16"/>
        <v>0</v>
      </c>
      <c r="D80" s="177">
        <v>0</v>
      </c>
      <c r="E80" s="182">
        <v>0</v>
      </c>
      <c r="F80" s="19">
        <v>0</v>
      </c>
      <c r="G80" s="182">
        <v>0</v>
      </c>
      <c r="H80" s="192">
        <v>0</v>
      </c>
      <c r="I80" s="182">
        <v>0</v>
      </c>
      <c r="J80" s="192">
        <v>0</v>
      </c>
      <c r="K80" s="182">
        <v>0</v>
      </c>
      <c r="L80" s="198">
        <f t="shared" si="17"/>
        <v>0</v>
      </c>
    </row>
    <row r="81" spans="1:12" ht="15" hidden="1">
      <c r="A81" s="66" t="s">
        <v>487</v>
      </c>
      <c r="B81" s="67" t="s">
        <v>488</v>
      </c>
      <c r="C81" s="82">
        <f t="shared" si="16"/>
        <v>0</v>
      </c>
      <c r="D81" s="177">
        <v>0</v>
      </c>
      <c r="E81" s="94">
        <v>0</v>
      </c>
      <c r="F81" s="19">
        <v>0</v>
      </c>
      <c r="G81" s="199">
        <v>0</v>
      </c>
      <c r="H81" s="192">
        <v>0</v>
      </c>
      <c r="I81" s="199">
        <v>0</v>
      </c>
      <c r="J81" s="192">
        <v>0</v>
      </c>
      <c r="K81" s="199">
        <v>0</v>
      </c>
      <c r="L81" s="198">
        <f t="shared" si="17"/>
        <v>0</v>
      </c>
    </row>
    <row r="82" spans="1:12" ht="15">
      <c r="A82" s="39" t="s">
        <v>162</v>
      </c>
      <c r="B82" s="40" t="s">
        <v>163</v>
      </c>
      <c r="C82" s="5">
        <f t="shared" si="16"/>
        <v>5262438</v>
      </c>
      <c r="D82" s="41">
        <f>D83+D85+D87+D90</f>
        <v>4933540</v>
      </c>
      <c r="E82" s="42">
        <f aca="true" t="shared" si="27" ref="E82:K82">E83+E85+E87+E90</f>
        <v>-46813</v>
      </c>
      <c r="F82" s="41">
        <f t="shared" si="27"/>
        <v>183342</v>
      </c>
      <c r="G82" s="194">
        <f t="shared" si="27"/>
        <v>0</v>
      </c>
      <c r="H82" s="193">
        <f t="shared" si="27"/>
        <v>145556</v>
      </c>
      <c r="I82" s="194">
        <f t="shared" si="27"/>
        <v>0</v>
      </c>
      <c r="J82" s="193">
        <f t="shared" si="27"/>
        <v>0</v>
      </c>
      <c r="K82" s="194">
        <f t="shared" si="27"/>
        <v>0</v>
      </c>
      <c r="L82" s="191">
        <f t="shared" si="17"/>
        <v>5215625</v>
      </c>
    </row>
    <row r="83" spans="1:12" ht="15" hidden="1">
      <c r="A83" s="68" t="s">
        <v>441</v>
      </c>
      <c r="B83" s="69" t="s">
        <v>440</v>
      </c>
      <c r="C83" s="82">
        <f aca="true" t="shared" si="28" ref="C83:C90">D83+F83+H83+J83</f>
        <v>0</v>
      </c>
      <c r="D83" s="178">
        <f>D84</f>
        <v>0</v>
      </c>
      <c r="E83" s="181">
        <f aca="true" t="shared" si="29" ref="E83:K85">E84</f>
        <v>0</v>
      </c>
      <c r="F83" s="178">
        <f t="shared" si="29"/>
        <v>0</v>
      </c>
      <c r="G83" s="181">
        <f t="shared" si="29"/>
        <v>0</v>
      </c>
      <c r="H83" s="178">
        <f t="shared" si="29"/>
        <v>0</v>
      </c>
      <c r="I83" s="181">
        <f t="shared" si="29"/>
        <v>0</v>
      </c>
      <c r="J83" s="178">
        <f t="shared" si="29"/>
        <v>0</v>
      </c>
      <c r="K83" s="181">
        <f t="shared" si="29"/>
        <v>0</v>
      </c>
      <c r="L83" s="198">
        <f aca="true" t="shared" si="30" ref="L83:L90">SUM(D83:K83)</f>
        <v>0</v>
      </c>
    </row>
    <row r="84" spans="1:12" ht="15" hidden="1">
      <c r="A84" s="66" t="s">
        <v>487</v>
      </c>
      <c r="B84" s="67" t="s">
        <v>488</v>
      </c>
      <c r="C84" s="82">
        <f t="shared" si="28"/>
        <v>0</v>
      </c>
      <c r="D84" s="19">
        <v>0</v>
      </c>
      <c r="E84" s="94">
        <v>0</v>
      </c>
      <c r="F84" s="19">
        <v>0</v>
      </c>
      <c r="G84" s="199">
        <v>0</v>
      </c>
      <c r="H84" s="192">
        <v>0</v>
      </c>
      <c r="I84" s="199">
        <v>0</v>
      </c>
      <c r="J84" s="192">
        <v>0</v>
      </c>
      <c r="K84" s="199">
        <v>0</v>
      </c>
      <c r="L84" s="198">
        <f t="shared" si="30"/>
        <v>0</v>
      </c>
    </row>
    <row r="85" spans="1:12" ht="15">
      <c r="A85" s="6" t="s">
        <v>255</v>
      </c>
      <c r="B85" s="7" t="s">
        <v>256</v>
      </c>
      <c r="C85" s="80">
        <f t="shared" si="28"/>
        <v>562383</v>
      </c>
      <c r="D85" s="17">
        <f>D86</f>
        <v>552703</v>
      </c>
      <c r="E85" s="45">
        <f t="shared" si="29"/>
        <v>-51513</v>
      </c>
      <c r="F85" s="17">
        <f t="shared" si="29"/>
        <v>0</v>
      </c>
      <c r="G85" s="45">
        <f t="shared" si="29"/>
        <v>0</v>
      </c>
      <c r="H85" s="17">
        <f t="shared" si="29"/>
        <v>9680</v>
      </c>
      <c r="I85" s="45">
        <f t="shared" si="29"/>
        <v>0</v>
      </c>
      <c r="J85" s="17">
        <f t="shared" si="29"/>
        <v>0</v>
      </c>
      <c r="K85" s="45">
        <f t="shared" si="29"/>
        <v>0</v>
      </c>
      <c r="L85" s="81">
        <f t="shared" si="30"/>
        <v>510870</v>
      </c>
    </row>
    <row r="86" spans="1:12" ht="25.5">
      <c r="A86" s="12" t="s">
        <v>257</v>
      </c>
      <c r="B86" s="13" t="s">
        <v>258</v>
      </c>
      <c r="C86" s="81">
        <f t="shared" si="28"/>
        <v>562383</v>
      </c>
      <c r="D86" s="14">
        <v>552703</v>
      </c>
      <c r="E86" s="44">
        <v>-51513</v>
      </c>
      <c r="F86" s="11">
        <v>0</v>
      </c>
      <c r="G86" s="44">
        <v>0</v>
      </c>
      <c r="H86" s="11">
        <v>9680</v>
      </c>
      <c r="I86" s="44">
        <v>0</v>
      </c>
      <c r="J86" s="11">
        <v>0</v>
      </c>
      <c r="K86" s="44">
        <v>0</v>
      </c>
      <c r="L86" s="81">
        <f t="shared" si="30"/>
        <v>510870</v>
      </c>
    </row>
    <row r="87" spans="1:12" ht="15">
      <c r="A87" s="6" t="s">
        <v>259</v>
      </c>
      <c r="B87" s="7" t="s">
        <v>260</v>
      </c>
      <c r="C87" s="80">
        <f t="shared" si="28"/>
        <v>1121614</v>
      </c>
      <c r="D87" s="17">
        <f>D88+D89</f>
        <v>965535</v>
      </c>
      <c r="E87" s="45">
        <f aca="true" t="shared" si="31" ref="E87:K87">E88+E89</f>
        <v>0</v>
      </c>
      <c r="F87" s="17">
        <f t="shared" si="31"/>
        <v>20203</v>
      </c>
      <c r="G87" s="45">
        <f t="shared" si="31"/>
        <v>0</v>
      </c>
      <c r="H87" s="17">
        <f t="shared" si="31"/>
        <v>135876</v>
      </c>
      <c r="I87" s="45">
        <f t="shared" si="31"/>
        <v>0</v>
      </c>
      <c r="J87" s="17">
        <f t="shared" si="31"/>
        <v>0</v>
      </c>
      <c r="K87" s="45">
        <f t="shared" si="31"/>
        <v>0</v>
      </c>
      <c r="L87" s="81">
        <f t="shared" si="30"/>
        <v>1121614</v>
      </c>
    </row>
    <row r="88" spans="1:12" ht="15">
      <c r="A88" s="12" t="s">
        <v>261</v>
      </c>
      <c r="B88" s="13" t="s">
        <v>260</v>
      </c>
      <c r="C88" s="81">
        <f t="shared" si="28"/>
        <v>642155</v>
      </c>
      <c r="D88" s="14">
        <v>621952</v>
      </c>
      <c r="E88" s="44">
        <v>0</v>
      </c>
      <c r="F88" s="11">
        <v>20203</v>
      </c>
      <c r="G88" s="44">
        <v>0</v>
      </c>
      <c r="H88" s="11">
        <v>0</v>
      </c>
      <c r="I88" s="44">
        <v>0</v>
      </c>
      <c r="J88" s="11">
        <v>0</v>
      </c>
      <c r="K88" s="44">
        <v>0</v>
      </c>
      <c r="L88" s="81">
        <f t="shared" si="30"/>
        <v>642155</v>
      </c>
    </row>
    <row r="89" spans="1:12" ht="67.5" customHeight="1">
      <c r="A89" s="9" t="s">
        <v>754</v>
      </c>
      <c r="B89" s="10" t="s">
        <v>755</v>
      </c>
      <c r="C89" s="81">
        <f t="shared" si="28"/>
        <v>479459</v>
      </c>
      <c r="D89" s="11">
        <v>343583</v>
      </c>
      <c r="E89" s="44">
        <v>0</v>
      </c>
      <c r="F89" s="11">
        <v>0</v>
      </c>
      <c r="G89" s="44">
        <v>0</v>
      </c>
      <c r="H89" s="11">
        <v>135876</v>
      </c>
      <c r="I89" s="44">
        <v>0</v>
      </c>
      <c r="J89" s="11">
        <v>0</v>
      </c>
      <c r="K89" s="44">
        <v>0</v>
      </c>
      <c r="L89" s="81">
        <f t="shared" si="30"/>
        <v>479459</v>
      </c>
    </row>
    <row r="90" spans="1:12" ht="25.5">
      <c r="A90" s="6" t="s">
        <v>262</v>
      </c>
      <c r="B90" s="7" t="s">
        <v>263</v>
      </c>
      <c r="C90" s="80">
        <f t="shared" si="28"/>
        <v>3578441</v>
      </c>
      <c r="D90" s="8">
        <f>SUM(D91:D97)</f>
        <v>3415302</v>
      </c>
      <c r="E90" s="45">
        <f aca="true" t="shared" si="32" ref="E90:K90">SUM(E91:E97)</f>
        <v>4700</v>
      </c>
      <c r="F90" s="17">
        <f t="shared" si="32"/>
        <v>163139</v>
      </c>
      <c r="G90" s="45">
        <f t="shared" si="32"/>
        <v>0</v>
      </c>
      <c r="H90" s="17">
        <f t="shared" si="32"/>
        <v>0</v>
      </c>
      <c r="I90" s="45">
        <f t="shared" si="32"/>
        <v>0</v>
      </c>
      <c r="J90" s="8">
        <f t="shared" si="32"/>
        <v>0</v>
      </c>
      <c r="K90" s="43">
        <f t="shared" si="32"/>
        <v>0</v>
      </c>
      <c r="L90" s="81">
        <f t="shared" si="30"/>
        <v>3583141</v>
      </c>
    </row>
    <row r="91" spans="1:12" ht="25.5">
      <c r="A91" s="12" t="s">
        <v>264</v>
      </c>
      <c r="B91" s="13" t="s">
        <v>500</v>
      </c>
      <c r="C91" s="81">
        <f aca="true" t="shared" si="33" ref="C91:C96">D91+F91+H91+J91</f>
        <v>1133040</v>
      </c>
      <c r="D91" s="14">
        <v>1066770</v>
      </c>
      <c r="E91" s="44">
        <v>0</v>
      </c>
      <c r="F91" s="11">
        <v>66270</v>
      </c>
      <c r="G91" s="44">
        <v>0</v>
      </c>
      <c r="H91" s="11">
        <v>0</v>
      </c>
      <c r="I91" s="44">
        <v>0</v>
      </c>
      <c r="J91" s="11">
        <v>0</v>
      </c>
      <c r="K91" s="195">
        <v>0</v>
      </c>
      <c r="L91" s="81">
        <f aca="true" t="shared" si="34" ref="L91:L97">SUM(D91:K91)</f>
        <v>1133040</v>
      </c>
    </row>
    <row r="92" spans="1:12" ht="25.5">
      <c r="A92" s="12" t="s">
        <v>265</v>
      </c>
      <c r="B92" s="13" t="s">
        <v>444</v>
      </c>
      <c r="C92" s="81">
        <f t="shared" si="33"/>
        <v>1829971</v>
      </c>
      <c r="D92" s="14">
        <f>1830971-1000</f>
        <v>1829971</v>
      </c>
      <c r="E92" s="44">
        <v>4700</v>
      </c>
      <c r="F92" s="11">
        <v>0</v>
      </c>
      <c r="G92" s="44">
        <v>0</v>
      </c>
      <c r="H92" s="11">
        <v>0</v>
      </c>
      <c r="I92" s="44">
        <v>0</v>
      </c>
      <c r="J92" s="11">
        <v>0</v>
      </c>
      <c r="K92" s="44">
        <v>0</v>
      </c>
      <c r="L92" s="81">
        <f t="shared" si="34"/>
        <v>1834671</v>
      </c>
    </row>
    <row r="93" spans="1:12" ht="25.5">
      <c r="A93" s="12" t="s">
        <v>266</v>
      </c>
      <c r="B93" s="13" t="s">
        <v>267</v>
      </c>
      <c r="C93" s="81">
        <f t="shared" si="33"/>
        <v>178090</v>
      </c>
      <c r="D93" s="14">
        <v>178090</v>
      </c>
      <c r="E93" s="44">
        <v>0</v>
      </c>
      <c r="F93" s="11">
        <v>0</v>
      </c>
      <c r="G93" s="44">
        <v>0</v>
      </c>
      <c r="H93" s="11">
        <v>0</v>
      </c>
      <c r="I93" s="44">
        <v>0</v>
      </c>
      <c r="J93" s="11">
        <v>0</v>
      </c>
      <c r="K93" s="44">
        <v>0</v>
      </c>
      <c r="L93" s="81">
        <f t="shared" si="34"/>
        <v>178090</v>
      </c>
    </row>
    <row r="94" spans="1:12" ht="25.5">
      <c r="A94" s="12" t="s">
        <v>268</v>
      </c>
      <c r="B94" s="13" t="s">
        <v>269</v>
      </c>
      <c r="C94" s="81">
        <f t="shared" si="33"/>
        <v>415140</v>
      </c>
      <c r="D94" s="14">
        <v>318271</v>
      </c>
      <c r="E94" s="44">
        <v>0</v>
      </c>
      <c r="F94" s="11">
        <v>96869</v>
      </c>
      <c r="G94" s="44">
        <v>0</v>
      </c>
      <c r="H94" s="11">
        <v>0</v>
      </c>
      <c r="I94" s="44">
        <v>0</v>
      </c>
      <c r="J94" s="11">
        <v>0</v>
      </c>
      <c r="K94" s="195">
        <v>0</v>
      </c>
      <c r="L94" s="81">
        <f t="shared" si="34"/>
        <v>415140</v>
      </c>
    </row>
    <row r="95" spans="1:12" ht="38.25">
      <c r="A95" s="12" t="s">
        <v>270</v>
      </c>
      <c r="B95" s="13" t="s">
        <v>271</v>
      </c>
      <c r="C95" s="81">
        <f t="shared" si="33"/>
        <v>10200</v>
      </c>
      <c r="D95" s="14">
        <v>10200</v>
      </c>
      <c r="E95" s="44">
        <v>0</v>
      </c>
      <c r="F95" s="11">
        <v>0</v>
      </c>
      <c r="G95" s="44">
        <v>0</v>
      </c>
      <c r="H95" s="11">
        <v>0</v>
      </c>
      <c r="I95" s="44">
        <v>0</v>
      </c>
      <c r="J95" s="11">
        <v>0</v>
      </c>
      <c r="K95" s="195">
        <v>0</v>
      </c>
      <c r="L95" s="81">
        <f t="shared" si="34"/>
        <v>10200</v>
      </c>
    </row>
    <row r="96" spans="1:12" ht="51">
      <c r="A96" s="12" t="s">
        <v>272</v>
      </c>
      <c r="B96" s="13" t="s">
        <v>273</v>
      </c>
      <c r="C96" s="81">
        <f t="shared" si="33"/>
        <v>12000</v>
      </c>
      <c r="D96" s="14">
        <v>12000</v>
      </c>
      <c r="E96" s="44">
        <v>0</v>
      </c>
      <c r="F96" s="11">
        <v>0</v>
      </c>
      <c r="G96" s="44">
        <v>0</v>
      </c>
      <c r="H96" s="11">
        <v>0</v>
      </c>
      <c r="I96" s="44">
        <v>0</v>
      </c>
      <c r="J96" s="11">
        <v>0</v>
      </c>
      <c r="K96" s="195">
        <v>0</v>
      </c>
      <c r="L96" s="81">
        <f t="shared" si="34"/>
        <v>12000</v>
      </c>
    </row>
    <row r="97" spans="1:12" ht="15" hidden="1">
      <c r="A97" s="66" t="s">
        <v>487</v>
      </c>
      <c r="B97" s="67" t="s">
        <v>488</v>
      </c>
      <c r="C97" s="82">
        <f>D97+F97+H97+J97</f>
        <v>0</v>
      </c>
      <c r="D97" s="19">
        <v>0</v>
      </c>
      <c r="E97" s="94">
        <v>0</v>
      </c>
      <c r="F97" s="19">
        <v>0</v>
      </c>
      <c r="G97" s="199">
        <v>0</v>
      </c>
      <c r="H97" s="192">
        <v>0</v>
      </c>
      <c r="I97" s="199">
        <v>0</v>
      </c>
      <c r="J97" s="192">
        <v>0</v>
      </c>
      <c r="K97" s="199">
        <v>0</v>
      </c>
      <c r="L97" s="198">
        <f t="shared" si="34"/>
        <v>0</v>
      </c>
    </row>
    <row r="98" spans="1:12" ht="15">
      <c r="A98" s="39" t="s">
        <v>164</v>
      </c>
      <c r="B98" s="40" t="s">
        <v>165</v>
      </c>
      <c r="C98" s="5">
        <f>D98+F98+H98+J98</f>
        <v>105768</v>
      </c>
      <c r="D98" s="41">
        <f aca="true" t="shared" si="35" ref="D98:K98">SUM(D99:D104)</f>
        <v>92598</v>
      </c>
      <c r="E98" s="42">
        <f t="shared" si="35"/>
        <v>0</v>
      </c>
      <c r="F98" s="41">
        <f t="shared" si="35"/>
        <v>0</v>
      </c>
      <c r="G98" s="194">
        <f t="shared" si="35"/>
        <v>0</v>
      </c>
      <c r="H98" s="193">
        <f t="shared" si="35"/>
        <v>13170</v>
      </c>
      <c r="I98" s="194">
        <f t="shared" si="35"/>
        <v>0</v>
      </c>
      <c r="J98" s="193">
        <f t="shared" si="35"/>
        <v>0</v>
      </c>
      <c r="K98" s="194">
        <f t="shared" si="35"/>
        <v>0</v>
      </c>
      <c r="L98" s="191">
        <f>SUM(D98:K98)</f>
        <v>105768</v>
      </c>
    </row>
    <row r="99" spans="1:12" ht="15">
      <c r="A99" s="12" t="s">
        <v>274</v>
      </c>
      <c r="B99" s="13" t="s">
        <v>275</v>
      </c>
      <c r="C99" s="81">
        <f aca="true" t="shared" si="36" ref="C99:C104">D99+F99+H99+J99</f>
        <v>63330</v>
      </c>
      <c r="D99" s="14">
        <v>55300</v>
      </c>
      <c r="E99" s="44">
        <v>0</v>
      </c>
      <c r="F99" s="11">
        <v>0</v>
      </c>
      <c r="G99" s="44">
        <v>0</v>
      </c>
      <c r="H99" s="11">
        <v>8030</v>
      </c>
      <c r="I99" s="44">
        <v>0</v>
      </c>
      <c r="J99" s="11">
        <v>0</v>
      </c>
      <c r="K99" s="195">
        <v>0</v>
      </c>
      <c r="L99" s="81">
        <f aca="true" t="shared" si="37" ref="L99:L104">SUM(D99:K99)</f>
        <v>63330</v>
      </c>
    </row>
    <row r="100" spans="1:12" ht="25.5">
      <c r="A100" s="12" t="s">
        <v>276</v>
      </c>
      <c r="B100" s="13" t="s">
        <v>277</v>
      </c>
      <c r="C100" s="81">
        <f t="shared" si="36"/>
        <v>11585</v>
      </c>
      <c r="D100" s="14">
        <v>8755</v>
      </c>
      <c r="E100" s="44">
        <v>0</v>
      </c>
      <c r="F100" s="11">
        <v>0</v>
      </c>
      <c r="G100" s="44">
        <v>0</v>
      </c>
      <c r="H100" s="11">
        <v>2830</v>
      </c>
      <c r="I100" s="44">
        <v>0</v>
      </c>
      <c r="J100" s="11">
        <v>0</v>
      </c>
      <c r="K100" s="195">
        <v>0</v>
      </c>
      <c r="L100" s="81">
        <f t="shared" si="37"/>
        <v>11585</v>
      </c>
    </row>
    <row r="101" spans="1:12" ht="15">
      <c r="A101" s="12" t="s">
        <v>278</v>
      </c>
      <c r="B101" s="13" t="s">
        <v>279</v>
      </c>
      <c r="C101" s="81">
        <f t="shared" si="36"/>
        <v>27125</v>
      </c>
      <c r="D101" s="14">
        <v>24815</v>
      </c>
      <c r="E101" s="44">
        <v>0</v>
      </c>
      <c r="F101" s="11">
        <v>0</v>
      </c>
      <c r="G101" s="44">
        <v>0</v>
      </c>
      <c r="H101" s="11">
        <v>2310</v>
      </c>
      <c r="I101" s="44">
        <v>0</v>
      </c>
      <c r="J101" s="11">
        <v>0</v>
      </c>
      <c r="K101" s="195">
        <v>0</v>
      </c>
      <c r="L101" s="81">
        <f t="shared" si="37"/>
        <v>27125</v>
      </c>
    </row>
    <row r="102" spans="1:12" ht="15">
      <c r="A102" s="12" t="s">
        <v>280</v>
      </c>
      <c r="B102" s="13" t="s">
        <v>281</v>
      </c>
      <c r="C102" s="81">
        <f t="shared" si="36"/>
        <v>3728</v>
      </c>
      <c r="D102" s="14">
        <v>3728</v>
      </c>
      <c r="E102" s="44">
        <v>0</v>
      </c>
      <c r="F102" s="11">
        <v>0</v>
      </c>
      <c r="G102" s="44">
        <v>0</v>
      </c>
      <c r="H102" s="11">
        <v>0</v>
      </c>
      <c r="I102" s="44">
        <v>0</v>
      </c>
      <c r="J102" s="11">
        <v>0</v>
      </c>
      <c r="K102" s="195">
        <v>0</v>
      </c>
      <c r="L102" s="81">
        <f t="shared" si="37"/>
        <v>3728</v>
      </c>
    </row>
    <row r="103" spans="1:12" ht="15" hidden="1">
      <c r="A103" s="151"/>
      <c r="B103" s="18"/>
      <c r="C103" s="82">
        <f t="shared" si="36"/>
        <v>0</v>
      </c>
      <c r="D103" s="19">
        <v>0</v>
      </c>
      <c r="E103" s="94">
        <v>0</v>
      </c>
      <c r="F103" s="19">
        <v>0</v>
      </c>
      <c r="G103" s="199">
        <v>0</v>
      </c>
      <c r="H103" s="192">
        <v>0</v>
      </c>
      <c r="I103" s="199">
        <v>0</v>
      </c>
      <c r="J103" s="192">
        <v>0</v>
      </c>
      <c r="K103" s="199">
        <v>0</v>
      </c>
      <c r="L103" s="198">
        <f t="shared" si="37"/>
        <v>0</v>
      </c>
    </row>
    <row r="104" spans="1:12" ht="15" hidden="1">
      <c r="A104" s="151"/>
      <c r="B104" s="18"/>
      <c r="C104" s="82">
        <f t="shared" si="36"/>
        <v>0</v>
      </c>
      <c r="D104" s="19">
        <v>0</v>
      </c>
      <c r="E104" s="94">
        <v>0</v>
      </c>
      <c r="F104" s="19">
        <v>0</v>
      </c>
      <c r="G104" s="199">
        <v>0</v>
      </c>
      <c r="H104" s="192">
        <v>0</v>
      </c>
      <c r="I104" s="199">
        <v>0</v>
      </c>
      <c r="J104" s="192">
        <v>0</v>
      </c>
      <c r="K104" s="199">
        <v>0</v>
      </c>
      <c r="L104" s="198">
        <f t="shared" si="37"/>
        <v>0</v>
      </c>
    </row>
    <row r="105" spans="1:12" ht="15">
      <c r="A105" s="39" t="s">
        <v>166</v>
      </c>
      <c r="B105" s="40" t="s">
        <v>167</v>
      </c>
      <c r="C105" s="5">
        <f aca="true" t="shared" si="38" ref="C105:C141">D105+F105+H105+J105</f>
        <v>7586922</v>
      </c>
      <c r="D105" s="41">
        <f>D106+D112+D128+D133</f>
        <v>6283213</v>
      </c>
      <c r="E105" s="42">
        <f aca="true" t="shared" si="39" ref="E105:K105">E106+E112+E128+E133</f>
        <v>-3700</v>
      </c>
      <c r="F105" s="41">
        <f t="shared" si="39"/>
        <v>957656</v>
      </c>
      <c r="G105" s="194">
        <f t="shared" si="39"/>
        <v>133</v>
      </c>
      <c r="H105" s="193">
        <f t="shared" si="39"/>
        <v>326289</v>
      </c>
      <c r="I105" s="194">
        <f t="shared" si="39"/>
        <v>0</v>
      </c>
      <c r="J105" s="193">
        <f t="shared" si="39"/>
        <v>19764</v>
      </c>
      <c r="K105" s="194">
        <f t="shared" si="39"/>
        <v>0</v>
      </c>
      <c r="L105" s="191">
        <f aca="true" t="shared" si="40" ref="L105:L110">SUM(D105:K105)</f>
        <v>7583355</v>
      </c>
    </row>
    <row r="106" spans="1:12" ht="15">
      <c r="A106" s="6" t="s">
        <v>282</v>
      </c>
      <c r="B106" s="7" t="s">
        <v>283</v>
      </c>
      <c r="C106" s="80">
        <f t="shared" si="38"/>
        <v>1526071</v>
      </c>
      <c r="D106" s="8">
        <f>SUM(D107:D111)</f>
        <v>1199271</v>
      </c>
      <c r="E106" s="43">
        <f aca="true" t="shared" si="41" ref="E106:K106">SUM(E107:E111)</f>
        <v>0</v>
      </c>
      <c r="F106" s="8">
        <f t="shared" si="41"/>
        <v>38800</v>
      </c>
      <c r="G106" s="43">
        <f t="shared" si="41"/>
        <v>0</v>
      </c>
      <c r="H106" s="8">
        <f t="shared" si="41"/>
        <v>288000</v>
      </c>
      <c r="I106" s="43">
        <f t="shared" si="41"/>
        <v>0</v>
      </c>
      <c r="J106" s="8">
        <f t="shared" si="41"/>
        <v>0</v>
      </c>
      <c r="K106" s="43">
        <f t="shared" si="41"/>
        <v>0</v>
      </c>
      <c r="L106" s="81">
        <f t="shared" si="40"/>
        <v>1526071</v>
      </c>
    </row>
    <row r="107" spans="1:12" ht="25.5">
      <c r="A107" s="12" t="s">
        <v>284</v>
      </c>
      <c r="B107" s="13" t="s">
        <v>501</v>
      </c>
      <c r="C107" s="81">
        <f t="shared" si="38"/>
        <v>608271</v>
      </c>
      <c r="D107" s="11">
        <v>569471</v>
      </c>
      <c r="E107" s="44">
        <v>0</v>
      </c>
      <c r="F107" s="11">
        <v>38800</v>
      </c>
      <c r="G107" s="44">
        <v>0</v>
      </c>
      <c r="H107" s="11">
        <v>0</v>
      </c>
      <c r="I107" s="44">
        <v>0</v>
      </c>
      <c r="J107" s="11">
        <v>0</v>
      </c>
      <c r="K107" s="44">
        <v>0</v>
      </c>
      <c r="L107" s="81">
        <f t="shared" si="40"/>
        <v>608271</v>
      </c>
    </row>
    <row r="108" spans="1:12" ht="15">
      <c r="A108" s="12" t="s">
        <v>285</v>
      </c>
      <c r="B108" s="13" t="s">
        <v>286</v>
      </c>
      <c r="C108" s="81">
        <f t="shared" si="38"/>
        <v>629800</v>
      </c>
      <c r="D108" s="11">
        <v>629800</v>
      </c>
      <c r="E108" s="44">
        <v>0</v>
      </c>
      <c r="F108" s="11">
        <v>0</v>
      </c>
      <c r="G108" s="44">
        <v>0</v>
      </c>
      <c r="H108" s="11">
        <v>0</v>
      </c>
      <c r="I108" s="44">
        <v>0</v>
      </c>
      <c r="J108" s="11">
        <v>0</v>
      </c>
      <c r="K108" s="44">
        <v>0</v>
      </c>
      <c r="L108" s="81">
        <f t="shared" si="40"/>
        <v>629800</v>
      </c>
    </row>
    <row r="109" spans="1:12" ht="25.5" hidden="1">
      <c r="A109" s="66" t="s">
        <v>287</v>
      </c>
      <c r="B109" s="67" t="s">
        <v>288</v>
      </c>
      <c r="C109" s="82">
        <f t="shared" si="38"/>
        <v>0</v>
      </c>
      <c r="D109" s="19">
        <v>0</v>
      </c>
      <c r="E109" s="94">
        <v>0</v>
      </c>
      <c r="F109" s="19">
        <v>0</v>
      </c>
      <c r="G109" s="199">
        <v>0</v>
      </c>
      <c r="H109" s="192">
        <v>0</v>
      </c>
      <c r="I109" s="199">
        <v>0</v>
      </c>
      <c r="J109" s="192">
        <v>0</v>
      </c>
      <c r="K109" s="199">
        <v>0</v>
      </c>
      <c r="L109" s="198">
        <f t="shared" si="40"/>
        <v>0</v>
      </c>
    </row>
    <row r="110" spans="1:12" ht="38.25" hidden="1">
      <c r="A110" s="66" t="s">
        <v>442</v>
      </c>
      <c r="B110" s="67" t="s">
        <v>443</v>
      </c>
      <c r="C110" s="82">
        <v>0</v>
      </c>
      <c r="D110" s="19">
        <v>0</v>
      </c>
      <c r="E110" s="94">
        <v>0</v>
      </c>
      <c r="F110" s="19">
        <v>0</v>
      </c>
      <c r="G110" s="199">
        <v>0</v>
      </c>
      <c r="H110" s="192">
        <v>0</v>
      </c>
      <c r="I110" s="199">
        <v>0</v>
      </c>
      <c r="J110" s="192">
        <v>0</v>
      </c>
      <c r="K110" s="199">
        <v>0</v>
      </c>
      <c r="L110" s="198">
        <f t="shared" si="40"/>
        <v>0</v>
      </c>
    </row>
    <row r="111" spans="1:12" ht="38.25">
      <c r="A111" s="186" t="s">
        <v>921</v>
      </c>
      <c r="B111" s="185" t="s">
        <v>922</v>
      </c>
      <c r="C111" s="189">
        <f t="shared" si="38"/>
        <v>288000</v>
      </c>
      <c r="D111" s="188">
        <v>0</v>
      </c>
      <c r="E111" s="187">
        <v>0</v>
      </c>
      <c r="F111" s="188">
        <v>0</v>
      </c>
      <c r="G111" s="187">
        <v>0</v>
      </c>
      <c r="H111" s="188">
        <v>288000</v>
      </c>
      <c r="I111" s="187">
        <v>0</v>
      </c>
      <c r="J111" s="188">
        <v>0</v>
      </c>
      <c r="K111" s="187">
        <v>0</v>
      </c>
      <c r="L111" s="189">
        <f>SUM(D111:K111)</f>
        <v>288000</v>
      </c>
    </row>
    <row r="112" spans="1:12" ht="15">
      <c r="A112" s="6" t="s">
        <v>289</v>
      </c>
      <c r="B112" s="7" t="s">
        <v>290</v>
      </c>
      <c r="C112" s="80">
        <f t="shared" si="38"/>
        <v>5217439</v>
      </c>
      <c r="D112" s="8">
        <f aca="true" t="shared" si="42" ref="D112:K112">D113+D116+D118+D121+D125</f>
        <v>4241448</v>
      </c>
      <c r="E112" s="45">
        <f t="shared" si="42"/>
        <v>-3700</v>
      </c>
      <c r="F112" s="17">
        <v>917938</v>
      </c>
      <c r="G112" s="45">
        <f t="shared" si="42"/>
        <v>133</v>
      </c>
      <c r="H112" s="17">
        <f t="shared" si="42"/>
        <v>38289</v>
      </c>
      <c r="I112" s="45">
        <f t="shared" si="42"/>
        <v>0</v>
      </c>
      <c r="J112" s="17">
        <f t="shared" si="42"/>
        <v>19764</v>
      </c>
      <c r="K112" s="45">
        <f t="shared" si="42"/>
        <v>0</v>
      </c>
      <c r="L112" s="189">
        <f>SUM(D112:K112)</f>
        <v>5213872</v>
      </c>
    </row>
    <row r="113" spans="1:12" ht="15">
      <c r="A113" s="6" t="s">
        <v>291</v>
      </c>
      <c r="B113" s="7" t="s">
        <v>292</v>
      </c>
      <c r="C113" s="80">
        <f t="shared" si="38"/>
        <v>919291</v>
      </c>
      <c r="D113" s="8">
        <f aca="true" t="shared" si="43" ref="D113:K113">SUM(D114:D115)</f>
        <v>872887</v>
      </c>
      <c r="E113" s="45">
        <f t="shared" si="43"/>
        <v>0</v>
      </c>
      <c r="F113" s="17">
        <f t="shared" si="43"/>
        <v>6505</v>
      </c>
      <c r="G113" s="45">
        <f t="shared" si="43"/>
        <v>133</v>
      </c>
      <c r="H113" s="17">
        <f t="shared" si="43"/>
        <v>20135</v>
      </c>
      <c r="I113" s="45">
        <f t="shared" si="43"/>
        <v>0</v>
      </c>
      <c r="J113" s="17">
        <f t="shared" si="43"/>
        <v>19764</v>
      </c>
      <c r="K113" s="45">
        <f t="shared" si="43"/>
        <v>0</v>
      </c>
      <c r="L113" s="81">
        <f aca="true" t="shared" si="44" ref="L113:L141">SUM(D113:K113)</f>
        <v>919424</v>
      </c>
    </row>
    <row r="114" spans="1:12" ht="25.5">
      <c r="A114" s="12" t="s">
        <v>293</v>
      </c>
      <c r="B114" s="10" t="s">
        <v>502</v>
      </c>
      <c r="C114" s="81">
        <f t="shared" si="38"/>
        <v>919291</v>
      </c>
      <c r="D114" s="11">
        <v>872887</v>
      </c>
      <c r="E114" s="44">
        <v>0</v>
      </c>
      <c r="F114" s="11">
        <v>6505</v>
      </c>
      <c r="G114" s="44">
        <v>133</v>
      </c>
      <c r="H114" s="11">
        <v>20135</v>
      </c>
      <c r="I114" s="44">
        <v>0</v>
      </c>
      <c r="J114" s="11">
        <v>19764</v>
      </c>
      <c r="K114" s="44">
        <v>0</v>
      </c>
      <c r="L114" s="81">
        <f t="shared" si="44"/>
        <v>919424</v>
      </c>
    </row>
    <row r="115" spans="1:12" ht="15" hidden="1">
      <c r="A115" s="66" t="s">
        <v>487</v>
      </c>
      <c r="B115" s="67" t="s">
        <v>488</v>
      </c>
      <c r="C115" s="82">
        <f t="shared" si="38"/>
        <v>0</v>
      </c>
      <c r="D115" s="19">
        <v>0</v>
      </c>
      <c r="E115" s="94">
        <v>0</v>
      </c>
      <c r="F115" s="19">
        <v>0</v>
      </c>
      <c r="G115" s="199">
        <v>0</v>
      </c>
      <c r="H115" s="192">
        <v>0</v>
      </c>
      <c r="I115" s="199">
        <v>0</v>
      </c>
      <c r="J115" s="192">
        <v>0</v>
      </c>
      <c r="K115" s="199">
        <v>0</v>
      </c>
      <c r="L115" s="198">
        <f t="shared" si="44"/>
        <v>0</v>
      </c>
    </row>
    <row r="116" spans="1:12" ht="15">
      <c r="A116" s="6" t="s">
        <v>294</v>
      </c>
      <c r="B116" s="7" t="s">
        <v>295</v>
      </c>
      <c r="C116" s="80">
        <f t="shared" si="38"/>
        <v>785193</v>
      </c>
      <c r="D116" s="17">
        <f>D117</f>
        <v>756444</v>
      </c>
      <c r="E116" s="45">
        <f aca="true" t="shared" si="45" ref="E116:K116">E117</f>
        <v>1000</v>
      </c>
      <c r="F116" s="17">
        <f t="shared" si="45"/>
        <v>25506</v>
      </c>
      <c r="G116" s="45">
        <f t="shared" si="45"/>
        <v>0</v>
      </c>
      <c r="H116" s="17">
        <f t="shared" si="45"/>
        <v>3243</v>
      </c>
      <c r="I116" s="45">
        <f t="shared" si="45"/>
        <v>0</v>
      </c>
      <c r="J116" s="17">
        <f t="shared" si="45"/>
        <v>0</v>
      </c>
      <c r="K116" s="45">
        <f t="shared" si="45"/>
        <v>0</v>
      </c>
      <c r="L116" s="81">
        <f t="shared" si="44"/>
        <v>786193</v>
      </c>
    </row>
    <row r="117" spans="1:12" ht="38.25">
      <c r="A117" s="12" t="s">
        <v>296</v>
      </c>
      <c r="B117" s="13" t="s">
        <v>503</v>
      </c>
      <c r="C117" s="81">
        <f t="shared" si="38"/>
        <v>785193</v>
      </c>
      <c r="D117" s="11">
        <v>756444</v>
      </c>
      <c r="E117" s="44">
        <v>1000</v>
      </c>
      <c r="F117" s="11">
        <v>25506</v>
      </c>
      <c r="G117" s="44">
        <v>0</v>
      </c>
      <c r="H117" s="11">
        <v>3243</v>
      </c>
      <c r="I117" s="44">
        <v>0</v>
      </c>
      <c r="J117" s="11">
        <v>0</v>
      </c>
      <c r="K117" s="44">
        <v>0</v>
      </c>
      <c r="L117" s="81">
        <f t="shared" si="44"/>
        <v>786193</v>
      </c>
    </row>
    <row r="118" spans="1:12" ht="15">
      <c r="A118" s="6" t="s">
        <v>297</v>
      </c>
      <c r="B118" s="7" t="s">
        <v>298</v>
      </c>
      <c r="C118" s="80">
        <f t="shared" si="38"/>
        <v>2393423</v>
      </c>
      <c r="D118" s="17">
        <f>D119+D120</f>
        <v>1507496</v>
      </c>
      <c r="E118" s="45">
        <f aca="true" t="shared" si="46" ref="E118:K118">E119+E120</f>
        <v>0</v>
      </c>
      <c r="F118" s="17">
        <f t="shared" si="46"/>
        <v>885927</v>
      </c>
      <c r="G118" s="45">
        <f t="shared" si="46"/>
        <v>0</v>
      </c>
      <c r="H118" s="17">
        <f t="shared" si="46"/>
        <v>0</v>
      </c>
      <c r="I118" s="45">
        <f t="shared" si="46"/>
        <v>0</v>
      </c>
      <c r="J118" s="17">
        <f t="shared" si="46"/>
        <v>0</v>
      </c>
      <c r="K118" s="45">
        <f t="shared" si="46"/>
        <v>0</v>
      </c>
      <c r="L118" s="81">
        <f t="shared" si="44"/>
        <v>2393423</v>
      </c>
    </row>
    <row r="119" spans="1:12" ht="29.25" customHeight="1">
      <c r="A119" s="12" t="s">
        <v>299</v>
      </c>
      <c r="B119" s="13" t="s">
        <v>504</v>
      </c>
      <c r="C119" s="81">
        <f t="shared" si="38"/>
        <v>1589586</v>
      </c>
      <c r="D119" s="11">
        <v>1271324</v>
      </c>
      <c r="E119" s="44">
        <v>0</v>
      </c>
      <c r="F119" s="11">
        <v>318262</v>
      </c>
      <c r="G119" s="44">
        <v>0</v>
      </c>
      <c r="H119" s="11">
        <v>0</v>
      </c>
      <c r="I119" s="44">
        <v>0</v>
      </c>
      <c r="J119" s="11">
        <v>0</v>
      </c>
      <c r="K119" s="44">
        <v>0</v>
      </c>
      <c r="L119" s="81">
        <f t="shared" si="44"/>
        <v>1589586</v>
      </c>
    </row>
    <row r="120" spans="1:12" ht="15">
      <c r="A120" s="12" t="s">
        <v>300</v>
      </c>
      <c r="B120" s="13" t="s">
        <v>505</v>
      </c>
      <c r="C120" s="81">
        <f t="shared" si="38"/>
        <v>803837</v>
      </c>
      <c r="D120" s="11">
        <v>236172</v>
      </c>
      <c r="E120" s="44">
        <v>0</v>
      </c>
      <c r="F120" s="11">
        <v>567665</v>
      </c>
      <c r="G120" s="44">
        <v>0</v>
      </c>
      <c r="H120" s="11">
        <v>0</v>
      </c>
      <c r="I120" s="44">
        <v>0</v>
      </c>
      <c r="J120" s="11">
        <v>0</v>
      </c>
      <c r="K120" s="44">
        <v>0</v>
      </c>
      <c r="L120" s="81">
        <f t="shared" si="44"/>
        <v>803837</v>
      </c>
    </row>
    <row r="121" spans="1:12" ht="15">
      <c r="A121" s="6" t="s">
        <v>301</v>
      </c>
      <c r="B121" s="7" t="s">
        <v>302</v>
      </c>
      <c r="C121" s="80">
        <f t="shared" si="38"/>
        <v>129337</v>
      </c>
      <c r="D121" s="17">
        <f>SUM(D122:D124)</f>
        <v>129337</v>
      </c>
      <c r="E121" s="45">
        <f aca="true" t="shared" si="47" ref="E121:K121">SUM(E122:E124)</f>
        <v>0</v>
      </c>
      <c r="F121" s="17">
        <f t="shared" si="47"/>
        <v>0</v>
      </c>
      <c r="G121" s="45">
        <f t="shared" si="47"/>
        <v>0</v>
      </c>
      <c r="H121" s="17">
        <f t="shared" si="47"/>
        <v>0</v>
      </c>
      <c r="I121" s="45">
        <f t="shared" si="47"/>
        <v>0</v>
      </c>
      <c r="J121" s="17">
        <f t="shared" si="47"/>
        <v>0</v>
      </c>
      <c r="K121" s="45">
        <f t="shared" si="47"/>
        <v>0</v>
      </c>
      <c r="L121" s="81">
        <f t="shared" si="44"/>
        <v>129337</v>
      </c>
    </row>
    <row r="122" spans="1:12" ht="25.5">
      <c r="A122" s="12" t="s">
        <v>303</v>
      </c>
      <c r="B122" s="13" t="s">
        <v>304</v>
      </c>
      <c r="C122" s="81">
        <f t="shared" si="38"/>
        <v>104313</v>
      </c>
      <c r="D122" s="11">
        <v>104313</v>
      </c>
      <c r="E122" s="44">
        <v>0</v>
      </c>
      <c r="F122" s="11">
        <v>0</v>
      </c>
      <c r="G122" s="44">
        <v>0</v>
      </c>
      <c r="H122" s="11">
        <v>0</v>
      </c>
      <c r="I122" s="44">
        <v>0</v>
      </c>
      <c r="J122" s="11">
        <v>0</v>
      </c>
      <c r="K122" s="44">
        <v>0</v>
      </c>
      <c r="L122" s="81">
        <f t="shared" si="44"/>
        <v>104313</v>
      </c>
    </row>
    <row r="123" spans="1:12" ht="25.5">
      <c r="A123" s="12" t="s">
        <v>305</v>
      </c>
      <c r="B123" s="13" t="s">
        <v>306</v>
      </c>
      <c r="C123" s="81">
        <f t="shared" si="38"/>
        <v>25024</v>
      </c>
      <c r="D123" s="14">
        <v>25024</v>
      </c>
      <c r="E123" s="44">
        <v>0</v>
      </c>
      <c r="F123" s="11">
        <v>0</v>
      </c>
      <c r="G123" s="44">
        <v>0</v>
      </c>
      <c r="H123" s="11">
        <v>0</v>
      </c>
      <c r="I123" s="44">
        <v>0</v>
      </c>
      <c r="J123" s="11">
        <v>0</v>
      </c>
      <c r="K123" s="44">
        <v>0</v>
      </c>
      <c r="L123" s="81">
        <f t="shared" si="44"/>
        <v>25024</v>
      </c>
    </row>
    <row r="124" spans="1:12" ht="15" hidden="1">
      <c r="A124" s="66" t="s">
        <v>487</v>
      </c>
      <c r="B124" s="67" t="s">
        <v>488</v>
      </c>
      <c r="C124" s="82">
        <f t="shared" si="38"/>
        <v>0</v>
      </c>
      <c r="D124" s="19">
        <v>0</v>
      </c>
      <c r="E124" s="94">
        <v>0</v>
      </c>
      <c r="F124" s="19">
        <v>0</v>
      </c>
      <c r="G124" s="199">
        <v>0</v>
      </c>
      <c r="H124" s="192">
        <v>0</v>
      </c>
      <c r="I124" s="199">
        <v>0</v>
      </c>
      <c r="J124" s="192">
        <v>0</v>
      </c>
      <c r="K124" s="199">
        <v>0</v>
      </c>
      <c r="L124" s="81">
        <f t="shared" si="44"/>
        <v>0</v>
      </c>
    </row>
    <row r="125" spans="1:12" ht="15">
      <c r="A125" s="6" t="s">
        <v>307</v>
      </c>
      <c r="B125" s="7" t="s">
        <v>308</v>
      </c>
      <c r="C125" s="80">
        <f t="shared" si="38"/>
        <v>990195</v>
      </c>
      <c r="D125" s="8">
        <f aca="true" t="shared" si="48" ref="D125:K125">SUM(D126:D127)</f>
        <v>975284</v>
      </c>
      <c r="E125" s="45">
        <f t="shared" si="48"/>
        <v>-4700</v>
      </c>
      <c r="F125" s="17">
        <f t="shared" si="48"/>
        <v>0</v>
      </c>
      <c r="G125" s="45">
        <f t="shared" si="48"/>
        <v>0</v>
      </c>
      <c r="H125" s="17">
        <f t="shared" si="48"/>
        <v>14911</v>
      </c>
      <c r="I125" s="45">
        <f t="shared" si="48"/>
        <v>0</v>
      </c>
      <c r="J125" s="8">
        <f t="shared" si="48"/>
        <v>0</v>
      </c>
      <c r="K125" s="43">
        <f t="shared" si="48"/>
        <v>0</v>
      </c>
      <c r="L125" s="81">
        <f t="shared" si="44"/>
        <v>985495</v>
      </c>
    </row>
    <row r="126" spans="1:12" ht="25.5">
      <c r="A126" s="12" t="s">
        <v>309</v>
      </c>
      <c r="B126" s="13" t="s">
        <v>310</v>
      </c>
      <c r="C126" s="81">
        <f t="shared" si="38"/>
        <v>593895</v>
      </c>
      <c r="D126" s="14">
        <v>578984</v>
      </c>
      <c r="E126" s="44">
        <v>0</v>
      </c>
      <c r="F126" s="11">
        <v>0</v>
      </c>
      <c r="G126" s="44">
        <v>0</v>
      </c>
      <c r="H126" s="11">
        <v>14911</v>
      </c>
      <c r="I126" s="44">
        <v>0</v>
      </c>
      <c r="J126" s="11">
        <v>0</v>
      </c>
      <c r="K126" s="44">
        <v>0</v>
      </c>
      <c r="L126" s="81">
        <f t="shared" si="44"/>
        <v>593895</v>
      </c>
    </row>
    <row r="127" spans="1:12" ht="15">
      <c r="A127" s="12" t="s">
        <v>311</v>
      </c>
      <c r="B127" s="13" t="s">
        <v>312</v>
      </c>
      <c r="C127" s="81">
        <f t="shared" si="38"/>
        <v>396300</v>
      </c>
      <c r="D127" s="14">
        <v>396300</v>
      </c>
      <c r="E127" s="44">
        <v>-4700</v>
      </c>
      <c r="F127" s="11">
        <v>0</v>
      </c>
      <c r="G127" s="44">
        <v>0</v>
      </c>
      <c r="H127" s="11">
        <v>0</v>
      </c>
      <c r="I127" s="44">
        <v>0</v>
      </c>
      <c r="J127" s="11">
        <v>0</v>
      </c>
      <c r="K127" s="44">
        <v>0</v>
      </c>
      <c r="L127" s="81">
        <f t="shared" si="44"/>
        <v>391600</v>
      </c>
    </row>
    <row r="128" spans="1:12" ht="25.5">
      <c r="A128" s="6" t="s">
        <v>313</v>
      </c>
      <c r="B128" s="7" t="s">
        <v>314</v>
      </c>
      <c r="C128" s="80">
        <f t="shared" si="38"/>
        <v>254542</v>
      </c>
      <c r="D128" s="8">
        <f>SUM(D129:D132)</f>
        <v>254542</v>
      </c>
      <c r="E128" s="45">
        <f aca="true" t="shared" si="49" ref="E128:K128">SUM(E129:E132)</f>
        <v>0</v>
      </c>
      <c r="F128" s="17">
        <f t="shared" si="49"/>
        <v>0</v>
      </c>
      <c r="G128" s="45">
        <f t="shared" si="49"/>
        <v>0</v>
      </c>
      <c r="H128" s="17">
        <f t="shared" si="49"/>
        <v>0</v>
      </c>
      <c r="I128" s="45">
        <f t="shared" si="49"/>
        <v>0</v>
      </c>
      <c r="J128" s="17">
        <f t="shared" si="49"/>
        <v>0</v>
      </c>
      <c r="K128" s="43">
        <f t="shared" si="49"/>
        <v>0</v>
      </c>
      <c r="L128" s="81">
        <f t="shared" si="44"/>
        <v>254542</v>
      </c>
    </row>
    <row r="129" spans="1:12" ht="15">
      <c r="A129" s="12" t="s">
        <v>315</v>
      </c>
      <c r="B129" s="13" t="s">
        <v>316</v>
      </c>
      <c r="C129" s="81">
        <f t="shared" si="38"/>
        <v>103000</v>
      </c>
      <c r="D129" s="14">
        <v>103000</v>
      </c>
      <c r="E129" s="44">
        <v>0</v>
      </c>
      <c r="F129" s="11">
        <v>0</v>
      </c>
      <c r="G129" s="44">
        <v>0</v>
      </c>
      <c r="H129" s="11">
        <v>0</v>
      </c>
      <c r="I129" s="44">
        <v>0</v>
      </c>
      <c r="J129" s="11">
        <v>0</v>
      </c>
      <c r="K129" s="44">
        <v>0</v>
      </c>
      <c r="L129" s="81">
        <f t="shared" si="44"/>
        <v>103000</v>
      </c>
    </row>
    <row r="130" spans="1:12" ht="25.5">
      <c r="A130" s="12" t="s">
        <v>317</v>
      </c>
      <c r="B130" s="13" t="s">
        <v>318</v>
      </c>
      <c r="C130" s="81">
        <f t="shared" si="38"/>
        <v>38453</v>
      </c>
      <c r="D130" s="14">
        <v>38453</v>
      </c>
      <c r="E130" s="44">
        <v>0</v>
      </c>
      <c r="F130" s="11">
        <v>0</v>
      </c>
      <c r="G130" s="44">
        <v>0</v>
      </c>
      <c r="H130" s="11">
        <v>0</v>
      </c>
      <c r="I130" s="44">
        <v>0</v>
      </c>
      <c r="J130" s="11">
        <v>0</v>
      </c>
      <c r="K130" s="44">
        <v>0</v>
      </c>
      <c r="L130" s="81">
        <f t="shared" si="44"/>
        <v>38453</v>
      </c>
    </row>
    <row r="131" spans="1:12" ht="25.5" hidden="1">
      <c r="A131" s="66" t="s">
        <v>319</v>
      </c>
      <c r="B131" s="67" t="s">
        <v>320</v>
      </c>
      <c r="C131" s="82">
        <f t="shared" si="38"/>
        <v>0</v>
      </c>
      <c r="D131" s="19">
        <v>0</v>
      </c>
      <c r="E131" s="94">
        <v>0</v>
      </c>
      <c r="F131" s="19">
        <v>0</v>
      </c>
      <c r="G131" s="199">
        <v>0</v>
      </c>
      <c r="H131" s="192">
        <v>0</v>
      </c>
      <c r="I131" s="199">
        <v>0</v>
      </c>
      <c r="J131" s="192">
        <v>0</v>
      </c>
      <c r="K131" s="199">
        <v>0</v>
      </c>
      <c r="L131" s="198">
        <f t="shared" si="44"/>
        <v>0</v>
      </c>
    </row>
    <row r="132" spans="1:12" ht="25.5">
      <c r="A132" s="12" t="s">
        <v>321</v>
      </c>
      <c r="B132" s="13" t="s">
        <v>322</v>
      </c>
      <c r="C132" s="81">
        <f t="shared" si="38"/>
        <v>113089</v>
      </c>
      <c r="D132" s="11">
        <v>113089</v>
      </c>
      <c r="E132" s="44">
        <v>0</v>
      </c>
      <c r="F132" s="11">
        <v>0</v>
      </c>
      <c r="G132" s="44">
        <v>0</v>
      </c>
      <c r="H132" s="11">
        <v>0</v>
      </c>
      <c r="I132" s="44">
        <v>0</v>
      </c>
      <c r="J132" s="11">
        <v>0</v>
      </c>
      <c r="K132" s="44">
        <v>0</v>
      </c>
      <c r="L132" s="81">
        <f t="shared" si="44"/>
        <v>113089</v>
      </c>
    </row>
    <row r="133" spans="1:12" ht="30.75" customHeight="1">
      <c r="A133" s="87" t="s">
        <v>470</v>
      </c>
      <c r="B133" s="7" t="s">
        <v>471</v>
      </c>
      <c r="C133" s="80">
        <f t="shared" si="38"/>
        <v>588870</v>
      </c>
      <c r="D133" s="17">
        <f>D134</f>
        <v>587952</v>
      </c>
      <c r="E133" s="45">
        <f aca="true" t="shared" si="50" ref="E133:K133">E134</f>
        <v>0</v>
      </c>
      <c r="F133" s="17">
        <f t="shared" si="50"/>
        <v>918</v>
      </c>
      <c r="G133" s="45">
        <f t="shared" si="50"/>
        <v>0</v>
      </c>
      <c r="H133" s="17">
        <f t="shared" si="50"/>
        <v>0</v>
      </c>
      <c r="I133" s="45">
        <f t="shared" si="50"/>
        <v>0</v>
      </c>
      <c r="J133" s="17">
        <f t="shared" si="50"/>
        <v>0</v>
      </c>
      <c r="K133" s="45">
        <f t="shared" si="50"/>
        <v>0</v>
      </c>
      <c r="L133" s="81">
        <f t="shared" si="44"/>
        <v>588870</v>
      </c>
    </row>
    <row r="134" spans="1:12" ht="25.5">
      <c r="A134" s="88" t="s">
        <v>472</v>
      </c>
      <c r="B134" s="13" t="s">
        <v>506</v>
      </c>
      <c r="C134" s="81">
        <f t="shared" si="38"/>
        <v>588870</v>
      </c>
      <c r="D134" s="11">
        <v>587952</v>
      </c>
      <c r="E134" s="44">
        <v>0</v>
      </c>
      <c r="F134" s="11">
        <v>918</v>
      </c>
      <c r="G134" s="44">
        <v>0</v>
      </c>
      <c r="H134" s="11">
        <v>0</v>
      </c>
      <c r="I134" s="44">
        <v>0</v>
      </c>
      <c r="J134" s="11">
        <v>0</v>
      </c>
      <c r="K134" s="44">
        <v>0</v>
      </c>
      <c r="L134" s="81">
        <f t="shared" si="44"/>
        <v>588870</v>
      </c>
    </row>
    <row r="135" spans="1:12" s="2" customFormat="1" ht="15">
      <c r="A135" s="39" t="s">
        <v>23</v>
      </c>
      <c r="B135" s="40" t="s">
        <v>168</v>
      </c>
      <c r="C135" s="5">
        <f t="shared" si="38"/>
        <v>51471594</v>
      </c>
      <c r="D135" s="41">
        <f>D136+D140+D152+D168+D176</f>
        <v>27087535</v>
      </c>
      <c r="E135" s="194">
        <f aca="true" t="shared" si="51" ref="E135:K135">E136+E140+E152+E168+E176</f>
        <v>-11590</v>
      </c>
      <c r="F135" s="193">
        <f t="shared" si="51"/>
        <v>1015277</v>
      </c>
      <c r="G135" s="194">
        <f t="shared" si="51"/>
        <v>24746</v>
      </c>
      <c r="H135" s="193">
        <f t="shared" si="51"/>
        <v>23368782</v>
      </c>
      <c r="I135" s="194">
        <f>I136+I140+I152+I168+I176</f>
        <v>517341</v>
      </c>
      <c r="J135" s="193">
        <f t="shared" si="51"/>
        <v>0</v>
      </c>
      <c r="K135" s="194">
        <f t="shared" si="51"/>
        <v>0</v>
      </c>
      <c r="L135" s="191">
        <f t="shared" si="44"/>
        <v>52002091</v>
      </c>
    </row>
    <row r="136" spans="1:12" ht="15">
      <c r="A136" s="6" t="s">
        <v>323</v>
      </c>
      <c r="B136" s="7" t="s">
        <v>324</v>
      </c>
      <c r="C136" s="80">
        <f>D136+F136+H136+J136</f>
        <v>14303669</v>
      </c>
      <c r="D136" s="8">
        <f aca="true" t="shared" si="52" ref="D136:K136">SUM(D137:D139)</f>
        <v>11920687</v>
      </c>
      <c r="E136" s="43">
        <f t="shared" si="52"/>
        <v>12756</v>
      </c>
      <c r="F136" s="8">
        <f t="shared" si="52"/>
        <v>152732</v>
      </c>
      <c r="G136" s="43">
        <f t="shared" si="52"/>
        <v>0</v>
      </c>
      <c r="H136" s="8">
        <f t="shared" si="52"/>
        <v>2230250</v>
      </c>
      <c r="I136" s="43">
        <f t="shared" si="52"/>
        <v>13532</v>
      </c>
      <c r="J136" s="8">
        <f t="shared" si="52"/>
        <v>0</v>
      </c>
      <c r="K136" s="43">
        <f t="shared" si="52"/>
        <v>0</v>
      </c>
      <c r="L136" s="81">
        <f>SUM(D136:K136)</f>
        <v>14329957</v>
      </c>
    </row>
    <row r="137" spans="1:12" ht="25.5">
      <c r="A137" s="12" t="s">
        <v>325</v>
      </c>
      <c r="B137" s="13" t="s">
        <v>934</v>
      </c>
      <c r="C137" s="81">
        <f t="shared" si="38"/>
        <v>14298545</v>
      </c>
      <c r="D137" s="11">
        <v>11917933</v>
      </c>
      <c r="E137" s="44">
        <v>12756</v>
      </c>
      <c r="F137" s="11">
        <v>152732</v>
      </c>
      <c r="G137" s="44">
        <v>0</v>
      </c>
      <c r="H137" s="11">
        <v>2227880</v>
      </c>
      <c r="I137" s="44">
        <v>13532</v>
      </c>
      <c r="J137" s="11">
        <v>0</v>
      </c>
      <c r="K137" s="44">
        <v>0</v>
      </c>
      <c r="L137" s="81">
        <f t="shared" si="44"/>
        <v>14324833</v>
      </c>
    </row>
    <row r="138" spans="1:12" ht="25.5">
      <c r="A138" s="89" t="s">
        <v>870</v>
      </c>
      <c r="B138" s="10" t="s">
        <v>871</v>
      </c>
      <c r="C138" s="189">
        <f t="shared" si="38"/>
        <v>5124</v>
      </c>
      <c r="D138" s="188">
        <v>2754</v>
      </c>
      <c r="E138" s="187">
        <v>0</v>
      </c>
      <c r="F138" s="188">
        <v>0</v>
      </c>
      <c r="G138" s="187">
        <v>0</v>
      </c>
      <c r="H138" s="188">
        <v>2370</v>
      </c>
      <c r="I138" s="187">
        <v>0</v>
      </c>
      <c r="J138" s="188">
        <v>0</v>
      </c>
      <c r="K138" s="187">
        <v>0</v>
      </c>
      <c r="L138" s="189">
        <f t="shared" si="44"/>
        <v>5124</v>
      </c>
    </row>
    <row r="139" spans="1:12" ht="15" hidden="1">
      <c r="A139" s="152"/>
      <c r="B139" s="18"/>
      <c r="C139" s="82">
        <f t="shared" si="38"/>
        <v>0</v>
      </c>
      <c r="D139" s="19">
        <v>0</v>
      </c>
      <c r="E139" s="94">
        <v>0</v>
      </c>
      <c r="F139" s="19">
        <v>0</v>
      </c>
      <c r="G139" s="199">
        <v>0</v>
      </c>
      <c r="H139" s="192">
        <v>0</v>
      </c>
      <c r="I139" s="199">
        <v>0</v>
      </c>
      <c r="J139" s="192">
        <v>0</v>
      </c>
      <c r="K139" s="199">
        <v>0</v>
      </c>
      <c r="L139" s="198">
        <f t="shared" si="44"/>
        <v>0</v>
      </c>
    </row>
    <row r="140" spans="1:12" ht="25.5">
      <c r="A140" s="15" t="s">
        <v>326</v>
      </c>
      <c r="B140" s="16" t="s">
        <v>327</v>
      </c>
      <c r="C140" s="80">
        <f t="shared" si="38"/>
        <v>26642224</v>
      </c>
      <c r="D140" s="17">
        <f>D141+D149</f>
        <v>8162436</v>
      </c>
      <c r="E140" s="45">
        <f aca="true" t="shared" si="53" ref="E140:K140">E141+E149</f>
        <v>-25646</v>
      </c>
      <c r="F140" s="17">
        <f t="shared" si="53"/>
        <v>292880</v>
      </c>
      <c r="G140" s="45">
        <f t="shared" si="53"/>
        <v>20375</v>
      </c>
      <c r="H140" s="17">
        <f t="shared" si="53"/>
        <v>18186908</v>
      </c>
      <c r="I140" s="45">
        <f t="shared" si="53"/>
        <v>385971</v>
      </c>
      <c r="J140" s="17">
        <f t="shared" si="53"/>
        <v>0</v>
      </c>
      <c r="K140" s="45">
        <f t="shared" si="53"/>
        <v>0</v>
      </c>
      <c r="L140" s="81">
        <f t="shared" si="44"/>
        <v>27022924</v>
      </c>
    </row>
    <row r="141" spans="1:12" ht="15">
      <c r="A141" s="90" t="s">
        <v>328</v>
      </c>
      <c r="B141" s="7" t="s">
        <v>329</v>
      </c>
      <c r="C141" s="80">
        <f t="shared" si="38"/>
        <v>24414252</v>
      </c>
      <c r="D141" s="8">
        <f>SUM(D142:D148)</f>
        <v>7608722</v>
      </c>
      <c r="E141" s="43">
        <f aca="true" t="shared" si="54" ref="E141:K141">SUM(E142:E148)</f>
        <v>-25646</v>
      </c>
      <c r="F141" s="8">
        <f t="shared" si="54"/>
        <v>237893</v>
      </c>
      <c r="G141" s="43">
        <f t="shared" si="54"/>
        <v>20375</v>
      </c>
      <c r="H141" s="8">
        <f t="shared" si="54"/>
        <v>16567637</v>
      </c>
      <c r="I141" s="43">
        <f t="shared" si="54"/>
        <v>383991</v>
      </c>
      <c r="J141" s="8">
        <f t="shared" si="54"/>
        <v>0</v>
      </c>
      <c r="K141" s="43">
        <f t="shared" si="54"/>
        <v>0</v>
      </c>
      <c r="L141" s="81">
        <f t="shared" si="44"/>
        <v>24792972</v>
      </c>
    </row>
    <row r="142" spans="1:12" ht="25.5">
      <c r="A142" s="12" t="s">
        <v>330</v>
      </c>
      <c r="B142" s="13" t="s">
        <v>331</v>
      </c>
      <c r="C142" s="81">
        <f aca="true" t="shared" si="55" ref="C142:C148">D142+F142+H142+J142</f>
        <v>21194610</v>
      </c>
      <c r="D142" s="11">
        <v>6282947</v>
      </c>
      <c r="E142" s="44">
        <v>-25646</v>
      </c>
      <c r="F142" s="11">
        <v>214276</v>
      </c>
      <c r="G142" s="44">
        <v>4475</v>
      </c>
      <c r="H142" s="11">
        <v>14697387</v>
      </c>
      <c r="I142" s="44">
        <v>110160</v>
      </c>
      <c r="J142" s="11">
        <v>0</v>
      </c>
      <c r="K142" s="44">
        <v>0</v>
      </c>
      <c r="L142" s="81">
        <f aca="true" t="shared" si="56" ref="L142:L148">SUM(D142:K142)</f>
        <v>21283599</v>
      </c>
    </row>
    <row r="143" spans="1:12" ht="38.25">
      <c r="A143" s="12" t="s">
        <v>332</v>
      </c>
      <c r="B143" s="13" t="s">
        <v>935</v>
      </c>
      <c r="C143" s="81">
        <f t="shared" si="55"/>
        <v>1836343</v>
      </c>
      <c r="D143" s="11">
        <v>185738</v>
      </c>
      <c r="E143" s="44">
        <v>0</v>
      </c>
      <c r="F143" s="11">
        <v>13027</v>
      </c>
      <c r="G143" s="44">
        <v>0</v>
      </c>
      <c r="H143" s="11">
        <v>1637578</v>
      </c>
      <c r="I143" s="44">
        <v>3281</v>
      </c>
      <c r="J143" s="11">
        <v>0</v>
      </c>
      <c r="K143" s="44">
        <v>0</v>
      </c>
      <c r="L143" s="81">
        <f t="shared" si="56"/>
        <v>1839624</v>
      </c>
    </row>
    <row r="144" spans="1:12" ht="25.5">
      <c r="A144" s="12" t="s">
        <v>333</v>
      </c>
      <c r="B144" s="13" t="s">
        <v>334</v>
      </c>
      <c r="C144" s="81">
        <f t="shared" si="55"/>
        <v>270030</v>
      </c>
      <c r="D144" s="14">
        <v>26768</v>
      </c>
      <c r="E144" s="44">
        <v>0</v>
      </c>
      <c r="F144" s="11">
        <v>10590</v>
      </c>
      <c r="G144" s="44">
        <v>15900</v>
      </c>
      <c r="H144" s="11">
        <v>232672</v>
      </c>
      <c r="I144" s="44">
        <v>270550</v>
      </c>
      <c r="J144" s="11">
        <v>0</v>
      </c>
      <c r="K144" s="44">
        <v>0</v>
      </c>
      <c r="L144" s="81">
        <f t="shared" si="56"/>
        <v>556480</v>
      </c>
    </row>
    <row r="145" spans="1:12" ht="46.5" customHeight="1" hidden="1">
      <c r="A145" s="151" t="s">
        <v>335</v>
      </c>
      <c r="B145" s="18" t="s">
        <v>336</v>
      </c>
      <c r="C145" s="82">
        <f t="shared" si="55"/>
        <v>0</v>
      </c>
      <c r="D145" s="19">
        <v>0</v>
      </c>
      <c r="E145" s="94">
        <v>0</v>
      </c>
      <c r="F145" s="19">
        <v>0</v>
      </c>
      <c r="G145" s="199">
        <v>0</v>
      </c>
      <c r="H145" s="192">
        <v>0</v>
      </c>
      <c r="I145" s="199">
        <v>0</v>
      </c>
      <c r="J145" s="192">
        <v>0</v>
      </c>
      <c r="K145" s="199">
        <v>0</v>
      </c>
      <c r="L145" s="198">
        <f t="shared" si="56"/>
        <v>0</v>
      </c>
    </row>
    <row r="146" spans="1:12" ht="51" hidden="1">
      <c r="A146" s="151" t="s">
        <v>337</v>
      </c>
      <c r="B146" s="18" t="s">
        <v>338</v>
      </c>
      <c r="C146" s="82">
        <f t="shared" si="55"/>
        <v>0</v>
      </c>
      <c r="D146" s="19">
        <v>0</v>
      </c>
      <c r="E146" s="94">
        <v>0</v>
      </c>
      <c r="F146" s="19">
        <v>0</v>
      </c>
      <c r="G146" s="199">
        <v>0</v>
      </c>
      <c r="H146" s="192">
        <v>0</v>
      </c>
      <c r="I146" s="199">
        <v>0</v>
      </c>
      <c r="J146" s="192">
        <v>0</v>
      </c>
      <c r="K146" s="199">
        <v>0</v>
      </c>
      <c r="L146" s="198">
        <f t="shared" si="56"/>
        <v>0</v>
      </c>
    </row>
    <row r="147" spans="1:12" ht="51" hidden="1">
      <c r="A147" s="151" t="s">
        <v>476</v>
      </c>
      <c r="B147" s="18" t="s">
        <v>477</v>
      </c>
      <c r="C147" s="82">
        <f t="shared" si="55"/>
        <v>0</v>
      </c>
      <c r="D147" s="19">
        <v>0</v>
      </c>
      <c r="E147" s="94">
        <v>0</v>
      </c>
      <c r="F147" s="19">
        <v>0</v>
      </c>
      <c r="G147" s="199">
        <v>0</v>
      </c>
      <c r="H147" s="192">
        <v>0</v>
      </c>
      <c r="I147" s="199">
        <v>0</v>
      </c>
      <c r="J147" s="192">
        <v>0</v>
      </c>
      <c r="K147" s="199">
        <v>0</v>
      </c>
      <c r="L147" s="198">
        <f t="shared" si="56"/>
        <v>0</v>
      </c>
    </row>
    <row r="148" spans="1:12" ht="51">
      <c r="A148" s="9" t="s">
        <v>756</v>
      </c>
      <c r="B148" s="10" t="s">
        <v>757</v>
      </c>
      <c r="C148" s="81">
        <f t="shared" si="55"/>
        <v>1113269</v>
      </c>
      <c r="D148" s="11">
        <v>1113269</v>
      </c>
      <c r="E148" s="44">
        <v>0</v>
      </c>
      <c r="F148" s="11">
        <v>0</v>
      </c>
      <c r="G148" s="44">
        <v>0</v>
      </c>
      <c r="H148" s="11">
        <v>0</v>
      </c>
      <c r="I148" s="44">
        <v>0</v>
      </c>
      <c r="J148" s="11">
        <v>0</v>
      </c>
      <c r="K148" s="44">
        <v>0</v>
      </c>
      <c r="L148" s="81">
        <f t="shared" si="56"/>
        <v>1113269</v>
      </c>
    </row>
    <row r="149" spans="1:12" ht="15">
      <c r="A149" s="90" t="s">
        <v>339</v>
      </c>
      <c r="B149" s="7" t="s">
        <v>340</v>
      </c>
      <c r="C149" s="80">
        <f aca="true" t="shared" si="57" ref="C149:C185">D149+F149+H149+J149</f>
        <v>2227972</v>
      </c>
      <c r="D149" s="8">
        <f aca="true" t="shared" si="58" ref="D149:K149">SUM(D150:D151)</f>
        <v>553714</v>
      </c>
      <c r="E149" s="45">
        <f t="shared" si="58"/>
        <v>0</v>
      </c>
      <c r="F149" s="17">
        <f t="shared" si="58"/>
        <v>54987</v>
      </c>
      <c r="G149" s="45">
        <f t="shared" si="58"/>
        <v>0</v>
      </c>
      <c r="H149" s="17">
        <f t="shared" si="58"/>
        <v>1619271</v>
      </c>
      <c r="I149" s="45">
        <f t="shared" si="58"/>
        <v>1980</v>
      </c>
      <c r="J149" s="17">
        <f t="shared" si="58"/>
        <v>0</v>
      </c>
      <c r="K149" s="45">
        <f t="shared" si="58"/>
        <v>0</v>
      </c>
      <c r="L149" s="81">
        <f aca="true" t="shared" si="59" ref="L149:L185">SUM(D149:K149)</f>
        <v>2229952</v>
      </c>
    </row>
    <row r="150" spans="1:12" ht="25.5">
      <c r="A150" s="12" t="s">
        <v>341</v>
      </c>
      <c r="B150" s="13" t="s">
        <v>342</v>
      </c>
      <c r="C150" s="81">
        <f t="shared" si="57"/>
        <v>2064413</v>
      </c>
      <c r="D150" s="14">
        <v>547362</v>
      </c>
      <c r="E150" s="44">
        <v>0</v>
      </c>
      <c r="F150" s="11">
        <v>53287</v>
      </c>
      <c r="G150" s="44">
        <v>0</v>
      </c>
      <c r="H150" s="11">
        <v>1463764</v>
      </c>
      <c r="I150" s="44">
        <v>1980</v>
      </c>
      <c r="J150" s="11">
        <v>0</v>
      </c>
      <c r="K150" s="44">
        <v>0</v>
      </c>
      <c r="L150" s="81">
        <f t="shared" si="59"/>
        <v>2066393</v>
      </c>
    </row>
    <row r="151" spans="1:12" ht="25.5">
      <c r="A151" s="12" t="s">
        <v>343</v>
      </c>
      <c r="B151" s="13" t="s">
        <v>344</v>
      </c>
      <c r="C151" s="81">
        <f t="shared" si="57"/>
        <v>163559</v>
      </c>
      <c r="D151" s="14">
        <v>6352</v>
      </c>
      <c r="E151" s="44">
        <v>0</v>
      </c>
      <c r="F151" s="11">
        <v>1700</v>
      </c>
      <c r="G151" s="44">
        <v>0</v>
      </c>
      <c r="H151" s="11">
        <v>155507</v>
      </c>
      <c r="I151" s="44">
        <v>0</v>
      </c>
      <c r="J151" s="11">
        <v>0</v>
      </c>
      <c r="K151" s="44">
        <v>0</v>
      </c>
      <c r="L151" s="81">
        <f t="shared" si="59"/>
        <v>163559</v>
      </c>
    </row>
    <row r="152" spans="1:12" ht="15">
      <c r="A152" s="90" t="s">
        <v>33</v>
      </c>
      <c r="B152" s="7" t="s">
        <v>923</v>
      </c>
      <c r="C152" s="81">
        <f>D152+F152+H152+J152</f>
        <v>7442667</v>
      </c>
      <c r="D152" s="8">
        <f>D153+D159+D162</f>
        <v>4826996</v>
      </c>
      <c r="E152" s="8">
        <f aca="true" t="shared" si="60" ref="E152:K152">E153+E159+E162</f>
        <v>1300</v>
      </c>
      <c r="F152" s="8">
        <f t="shared" si="60"/>
        <v>471220</v>
      </c>
      <c r="G152" s="8">
        <f t="shared" si="60"/>
        <v>4371</v>
      </c>
      <c r="H152" s="8">
        <f t="shared" si="60"/>
        <v>2144451</v>
      </c>
      <c r="I152" s="8">
        <f t="shared" si="60"/>
        <v>117838</v>
      </c>
      <c r="J152" s="8">
        <f t="shared" si="60"/>
        <v>0</v>
      </c>
      <c r="K152" s="8">
        <f t="shared" si="60"/>
        <v>0</v>
      </c>
      <c r="L152" s="81">
        <f t="shared" si="59"/>
        <v>7566176</v>
      </c>
    </row>
    <row r="153" spans="1:12" ht="25.5">
      <c r="A153" s="6" t="s">
        <v>345</v>
      </c>
      <c r="B153" s="7" t="s">
        <v>346</v>
      </c>
      <c r="C153" s="80">
        <f t="shared" si="57"/>
        <v>6115553</v>
      </c>
      <c r="D153" s="8">
        <f aca="true" t="shared" si="61" ref="D153:J153">SUM(D154:D158)</f>
        <v>3807721</v>
      </c>
      <c r="E153" s="45">
        <f t="shared" si="61"/>
        <v>12890</v>
      </c>
      <c r="F153" s="17">
        <f t="shared" si="61"/>
        <v>251696</v>
      </c>
      <c r="G153" s="45">
        <f t="shared" si="61"/>
        <v>0</v>
      </c>
      <c r="H153" s="17">
        <f>SUM(H154:H158)</f>
        <v>2056136</v>
      </c>
      <c r="I153" s="45">
        <f t="shared" si="61"/>
        <v>2793</v>
      </c>
      <c r="J153" s="17">
        <f t="shared" si="61"/>
        <v>0</v>
      </c>
      <c r="K153" s="45">
        <f>SUM(K154:K158)</f>
        <v>0</v>
      </c>
      <c r="L153" s="81">
        <f t="shared" si="59"/>
        <v>6131236</v>
      </c>
    </row>
    <row r="154" spans="1:12" ht="38.25">
      <c r="A154" s="12" t="s">
        <v>35</v>
      </c>
      <c r="B154" s="13" t="s">
        <v>457</v>
      </c>
      <c r="C154" s="81">
        <f t="shared" si="57"/>
        <v>1749214</v>
      </c>
      <c r="D154" s="14">
        <v>603084</v>
      </c>
      <c r="E154" s="44">
        <v>12890</v>
      </c>
      <c r="F154" s="11">
        <v>108677</v>
      </c>
      <c r="G154" s="44">
        <v>0</v>
      </c>
      <c r="H154" s="11">
        <v>1037453</v>
      </c>
      <c r="I154" s="44">
        <f>2793-102049</f>
        <v>-99256</v>
      </c>
      <c r="J154" s="11">
        <v>0</v>
      </c>
      <c r="K154" s="44">
        <v>0</v>
      </c>
      <c r="L154" s="81">
        <f t="shared" si="59"/>
        <v>1662848</v>
      </c>
    </row>
    <row r="155" spans="1:12" ht="25.5">
      <c r="A155" s="12" t="s">
        <v>37</v>
      </c>
      <c r="B155" s="13" t="s">
        <v>347</v>
      </c>
      <c r="C155" s="81">
        <f t="shared" si="57"/>
        <v>373224</v>
      </c>
      <c r="D155" s="14">
        <v>172190</v>
      </c>
      <c r="E155" s="44">
        <v>0</v>
      </c>
      <c r="F155" s="11">
        <v>25488</v>
      </c>
      <c r="G155" s="44">
        <v>0</v>
      </c>
      <c r="H155" s="11">
        <v>175546</v>
      </c>
      <c r="I155" s="44">
        <v>0</v>
      </c>
      <c r="J155" s="11">
        <v>0</v>
      </c>
      <c r="K155" s="44">
        <v>0</v>
      </c>
      <c r="L155" s="81">
        <f t="shared" si="59"/>
        <v>373224</v>
      </c>
    </row>
    <row r="156" spans="1:12" ht="25.5">
      <c r="A156" s="12" t="s">
        <v>348</v>
      </c>
      <c r="B156" s="13" t="s">
        <v>349</v>
      </c>
      <c r="C156" s="81">
        <f t="shared" si="57"/>
        <v>3592295</v>
      </c>
      <c r="D156" s="14">
        <v>2631627</v>
      </c>
      <c r="E156" s="44">
        <v>0</v>
      </c>
      <c r="F156" s="11">
        <v>117531</v>
      </c>
      <c r="G156" s="44">
        <v>0</v>
      </c>
      <c r="H156" s="11">
        <v>843137</v>
      </c>
      <c r="I156" s="44">
        <v>102049</v>
      </c>
      <c r="J156" s="11">
        <v>0</v>
      </c>
      <c r="K156" s="44">
        <v>0</v>
      </c>
      <c r="L156" s="81">
        <f t="shared" si="59"/>
        <v>3694344</v>
      </c>
    </row>
    <row r="157" spans="1:12" ht="76.5">
      <c r="A157" s="9" t="s">
        <v>434</v>
      </c>
      <c r="B157" s="10" t="s">
        <v>458</v>
      </c>
      <c r="C157" s="81">
        <f t="shared" si="57"/>
        <v>37055</v>
      </c>
      <c r="D157" s="11">
        <v>37055</v>
      </c>
      <c r="E157" s="44">
        <v>0</v>
      </c>
      <c r="F157" s="11">
        <v>0</v>
      </c>
      <c r="G157" s="44">
        <v>0</v>
      </c>
      <c r="H157" s="11">
        <v>0</v>
      </c>
      <c r="I157" s="44">
        <v>0</v>
      </c>
      <c r="J157" s="11">
        <v>0</v>
      </c>
      <c r="K157" s="44">
        <v>0</v>
      </c>
      <c r="L157" s="81">
        <f t="shared" si="59"/>
        <v>37055</v>
      </c>
    </row>
    <row r="158" spans="1:12" ht="38.25">
      <c r="A158" s="9" t="s">
        <v>478</v>
      </c>
      <c r="B158" s="10" t="s">
        <v>479</v>
      </c>
      <c r="C158" s="81">
        <f t="shared" si="57"/>
        <v>363765</v>
      </c>
      <c r="D158" s="11">
        <v>363765</v>
      </c>
      <c r="E158" s="44">
        <v>0</v>
      </c>
      <c r="F158" s="11">
        <v>0</v>
      </c>
      <c r="G158" s="44">
        <v>0</v>
      </c>
      <c r="H158" s="11">
        <v>0</v>
      </c>
      <c r="I158" s="44">
        <v>0</v>
      </c>
      <c r="J158" s="11">
        <v>0</v>
      </c>
      <c r="K158" s="44">
        <v>0</v>
      </c>
      <c r="L158" s="81">
        <f t="shared" si="59"/>
        <v>363765</v>
      </c>
    </row>
    <row r="159" spans="1:12" ht="51" hidden="1">
      <c r="A159" s="179" t="s">
        <v>350</v>
      </c>
      <c r="B159" s="180" t="s">
        <v>351</v>
      </c>
      <c r="C159" s="82">
        <f t="shared" si="57"/>
        <v>0</v>
      </c>
      <c r="D159" s="178">
        <f>SUM(D160:D161)</f>
        <v>0</v>
      </c>
      <c r="E159" s="181">
        <f aca="true" t="shared" si="62" ref="E159:K159">SUM(E160:E161)</f>
        <v>0</v>
      </c>
      <c r="F159" s="178">
        <f t="shared" si="62"/>
        <v>0</v>
      </c>
      <c r="G159" s="181">
        <f t="shared" si="62"/>
        <v>0</v>
      </c>
      <c r="H159" s="178">
        <f t="shared" si="62"/>
        <v>0</v>
      </c>
      <c r="I159" s="181">
        <f t="shared" si="62"/>
        <v>0</v>
      </c>
      <c r="J159" s="178">
        <f t="shared" si="62"/>
        <v>0</v>
      </c>
      <c r="K159" s="181">
        <f t="shared" si="62"/>
        <v>0</v>
      </c>
      <c r="L159" s="198">
        <f t="shared" si="59"/>
        <v>0</v>
      </c>
    </row>
    <row r="160" spans="1:12" ht="25.5" hidden="1">
      <c r="A160" s="151" t="s">
        <v>45</v>
      </c>
      <c r="B160" s="18" t="s">
        <v>352</v>
      </c>
      <c r="C160" s="82">
        <f t="shared" si="57"/>
        <v>0</v>
      </c>
      <c r="D160" s="19">
        <v>0</v>
      </c>
      <c r="E160" s="94">
        <v>0</v>
      </c>
      <c r="F160" s="19">
        <v>0</v>
      </c>
      <c r="G160" s="199">
        <v>0</v>
      </c>
      <c r="H160" s="192">
        <v>0</v>
      </c>
      <c r="I160" s="199">
        <v>0</v>
      </c>
      <c r="J160" s="192">
        <v>0</v>
      </c>
      <c r="K160" s="199">
        <v>0</v>
      </c>
      <c r="L160" s="198">
        <f t="shared" si="59"/>
        <v>0</v>
      </c>
    </row>
    <row r="161" spans="1:12" ht="16.5" customHeight="1" hidden="1">
      <c r="A161" s="151" t="s">
        <v>353</v>
      </c>
      <c r="B161" s="18" t="s">
        <v>507</v>
      </c>
      <c r="C161" s="82">
        <f t="shared" si="57"/>
        <v>0</v>
      </c>
      <c r="D161" s="19">
        <v>0</v>
      </c>
      <c r="E161" s="94">
        <v>0</v>
      </c>
      <c r="F161" s="19">
        <v>0</v>
      </c>
      <c r="G161" s="199">
        <v>0</v>
      </c>
      <c r="H161" s="192">
        <v>0</v>
      </c>
      <c r="I161" s="199">
        <v>0</v>
      </c>
      <c r="J161" s="192">
        <v>0</v>
      </c>
      <c r="K161" s="199">
        <v>0</v>
      </c>
      <c r="L161" s="198">
        <f t="shared" si="59"/>
        <v>0</v>
      </c>
    </row>
    <row r="162" spans="1:12" ht="25.5">
      <c r="A162" s="6" t="s">
        <v>354</v>
      </c>
      <c r="B162" s="7" t="s">
        <v>355</v>
      </c>
      <c r="C162" s="80">
        <f t="shared" si="57"/>
        <v>1327114</v>
      </c>
      <c r="D162" s="8">
        <f>SUM(D163:D167)</f>
        <v>1019275</v>
      </c>
      <c r="E162" s="43">
        <f aca="true" t="shared" si="63" ref="E162:K162">SUM(E163:E167)</f>
        <v>-11590</v>
      </c>
      <c r="F162" s="8">
        <f t="shared" si="63"/>
        <v>219524</v>
      </c>
      <c r="G162" s="43">
        <f t="shared" si="63"/>
        <v>4371</v>
      </c>
      <c r="H162" s="8">
        <f t="shared" si="63"/>
        <v>88315</v>
      </c>
      <c r="I162" s="43">
        <f t="shared" si="63"/>
        <v>115045</v>
      </c>
      <c r="J162" s="8">
        <f t="shared" si="63"/>
        <v>0</v>
      </c>
      <c r="K162" s="43">
        <f t="shared" si="63"/>
        <v>0</v>
      </c>
      <c r="L162" s="81">
        <f t="shared" si="59"/>
        <v>1434940</v>
      </c>
    </row>
    <row r="163" spans="1:12" ht="38.25">
      <c r="A163" s="12" t="s">
        <v>356</v>
      </c>
      <c r="B163" s="13" t="s">
        <v>357</v>
      </c>
      <c r="C163" s="81">
        <f t="shared" si="57"/>
        <v>1238799</v>
      </c>
      <c r="D163" s="14">
        <v>1019275</v>
      </c>
      <c r="E163" s="44">
        <v>-11590</v>
      </c>
      <c r="F163" s="11">
        <v>219524</v>
      </c>
      <c r="G163" s="44">
        <v>4371</v>
      </c>
      <c r="H163" s="11">
        <v>0</v>
      </c>
      <c r="I163" s="44">
        <v>7219</v>
      </c>
      <c r="J163" s="11">
        <v>0</v>
      </c>
      <c r="K163" s="44">
        <v>0</v>
      </c>
      <c r="L163" s="81">
        <f t="shared" si="59"/>
        <v>1238799</v>
      </c>
    </row>
    <row r="164" spans="1:12" ht="38.25">
      <c r="A164" s="12" t="s">
        <v>358</v>
      </c>
      <c r="B164" s="13" t="s">
        <v>359</v>
      </c>
      <c r="C164" s="81">
        <f t="shared" si="57"/>
        <v>88315</v>
      </c>
      <c r="D164" s="14">
        <v>0</v>
      </c>
      <c r="E164" s="44">
        <v>0</v>
      </c>
      <c r="F164" s="11">
        <v>0</v>
      </c>
      <c r="G164" s="44">
        <v>0</v>
      </c>
      <c r="H164" s="11">
        <v>88315</v>
      </c>
      <c r="I164" s="44">
        <v>0</v>
      </c>
      <c r="J164" s="11">
        <v>0</v>
      </c>
      <c r="K164" s="44">
        <v>0</v>
      </c>
      <c r="L164" s="81">
        <f t="shared" si="59"/>
        <v>88315</v>
      </c>
    </row>
    <row r="165" spans="1:12" s="49" customFormat="1" ht="15">
      <c r="A165" s="9" t="s">
        <v>936</v>
      </c>
      <c r="B165" s="10" t="s">
        <v>360</v>
      </c>
      <c r="C165" s="81">
        <f t="shared" si="57"/>
        <v>0</v>
      </c>
      <c r="D165" s="11">
        <v>0</v>
      </c>
      <c r="E165" s="44">
        <v>0</v>
      </c>
      <c r="F165" s="11">
        <v>0</v>
      </c>
      <c r="G165" s="44">
        <v>0</v>
      </c>
      <c r="H165" s="11">
        <v>0</v>
      </c>
      <c r="I165" s="44">
        <v>107826</v>
      </c>
      <c r="J165" s="11">
        <v>0</v>
      </c>
      <c r="K165" s="44">
        <v>0</v>
      </c>
      <c r="L165" s="81">
        <f t="shared" si="59"/>
        <v>107826</v>
      </c>
    </row>
    <row r="166" spans="1:12" ht="15" hidden="1">
      <c r="A166" s="151"/>
      <c r="B166" s="18"/>
      <c r="C166" s="82">
        <f t="shared" si="57"/>
        <v>0</v>
      </c>
      <c r="D166" s="19">
        <v>0</v>
      </c>
      <c r="E166" s="94">
        <v>0</v>
      </c>
      <c r="F166" s="19">
        <v>0</v>
      </c>
      <c r="G166" s="199">
        <v>0</v>
      </c>
      <c r="H166" s="192">
        <v>0</v>
      </c>
      <c r="I166" s="199">
        <v>0</v>
      </c>
      <c r="J166" s="192">
        <v>0</v>
      </c>
      <c r="K166" s="199">
        <v>0</v>
      </c>
      <c r="L166" s="198">
        <f t="shared" si="59"/>
        <v>0</v>
      </c>
    </row>
    <row r="167" spans="1:12" ht="15" hidden="1">
      <c r="A167" s="151"/>
      <c r="B167" s="18"/>
      <c r="C167" s="82">
        <f t="shared" si="57"/>
        <v>0</v>
      </c>
      <c r="D167" s="19">
        <v>0</v>
      </c>
      <c r="E167" s="94">
        <v>0</v>
      </c>
      <c r="F167" s="19">
        <v>0</v>
      </c>
      <c r="G167" s="199">
        <v>0</v>
      </c>
      <c r="H167" s="192">
        <v>0</v>
      </c>
      <c r="I167" s="199">
        <v>0</v>
      </c>
      <c r="J167" s="192">
        <v>0</v>
      </c>
      <c r="K167" s="199">
        <v>0</v>
      </c>
      <c r="L167" s="198">
        <f aca="true" t="shared" si="64" ref="L167:L172">SUM(D167:K167)</f>
        <v>0</v>
      </c>
    </row>
    <row r="168" spans="1:12" ht="15">
      <c r="A168" s="20" t="s">
        <v>510</v>
      </c>
      <c r="B168" s="16" t="s">
        <v>511</v>
      </c>
      <c r="C168" s="80">
        <f aca="true" t="shared" si="65" ref="C168:C176">D168+F168+H168+J168</f>
        <v>1903499</v>
      </c>
      <c r="D168" s="8">
        <f aca="true" t="shared" si="66" ref="D168:K168">D169+D171+D173</f>
        <v>1005003</v>
      </c>
      <c r="E168" s="43">
        <f t="shared" si="66"/>
        <v>0</v>
      </c>
      <c r="F168" s="8">
        <f t="shared" si="66"/>
        <v>91323</v>
      </c>
      <c r="G168" s="43">
        <f t="shared" si="66"/>
        <v>0</v>
      </c>
      <c r="H168" s="8">
        <f t="shared" si="66"/>
        <v>807173</v>
      </c>
      <c r="I168" s="43">
        <f t="shared" si="66"/>
        <v>0</v>
      </c>
      <c r="J168" s="8">
        <f t="shared" si="66"/>
        <v>0</v>
      </c>
      <c r="K168" s="43">
        <f t="shared" si="66"/>
        <v>0</v>
      </c>
      <c r="L168" s="81">
        <f t="shared" si="64"/>
        <v>1903499</v>
      </c>
    </row>
    <row r="169" spans="1:12" ht="15">
      <c r="A169" s="20" t="s">
        <v>508</v>
      </c>
      <c r="B169" s="16" t="s">
        <v>512</v>
      </c>
      <c r="C169" s="80">
        <f t="shared" si="65"/>
        <v>1509887</v>
      </c>
      <c r="D169" s="8">
        <f aca="true" t="shared" si="67" ref="D169:K169">D170</f>
        <v>737714</v>
      </c>
      <c r="E169" s="43">
        <f t="shared" si="67"/>
        <v>0</v>
      </c>
      <c r="F169" s="8">
        <f t="shared" si="67"/>
        <v>0</v>
      </c>
      <c r="G169" s="43">
        <f t="shared" si="67"/>
        <v>0</v>
      </c>
      <c r="H169" s="8">
        <f t="shared" si="67"/>
        <v>772173</v>
      </c>
      <c r="I169" s="43">
        <f t="shared" si="67"/>
        <v>0</v>
      </c>
      <c r="J169" s="8">
        <f t="shared" si="67"/>
        <v>0</v>
      </c>
      <c r="K169" s="43">
        <f t="shared" si="67"/>
        <v>0</v>
      </c>
      <c r="L169" s="81">
        <f t="shared" si="64"/>
        <v>1509887</v>
      </c>
    </row>
    <row r="170" spans="1:12" ht="25.5">
      <c r="A170" s="89" t="s">
        <v>509</v>
      </c>
      <c r="B170" s="10" t="s">
        <v>513</v>
      </c>
      <c r="C170" s="81">
        <f t="shared" si="65"/>
        <v>1509887</v>
      </c>
      <c r="D170" s="11">
        <v>737714</v>
      </c>
      <c r="E170" s="44">
        <v>0</v>
      </c>
      <c r="F170" s="11">
        <v>0</v>
      </c>
      <c r="G170" s="44">
        <v>0</v>
      </c>
      <c r="H170" s="11">
        <v>772173</v>
      </c>
      <c r="I170" s="44">
        <v>0</v>
      </c>
      <c r="J170" s="11">
        <v>0</v>
      </c>
      <c r="K170" s="44">
        <v>0</v>
      </c>
      <c r="L170" s="81">
        <f t="shared" si="64"/>
        <v>1509887</v>
      </c>
    </row>
    <row r="171" spans="1:12" ht="15">
      <c r="A171" s="20" t="s">
        <v>514</v>
      </c>
      <c r="B171" s="16" t="s">
        <v>515</v>
      </c>
      <c r="C171" s="80">
        <f t="shared" si="65"/>
        <v>142812</v>
      </c>
      <c r="D171" s="8">
        <f aca="true" t="shared" si="68" ref="D171:K171">D172</f>
        <v>112668</v>
      </c>
      <c r="E171" s="43">
        <f t="shared" si="68"/>
        <v>0</v>
      </c>
      <c r="F171" s="8">
        <f t="shared" si="68"/>
        <v>30144</v>
      </c>
      <c r="G171" s="43">
        <f t="shared" si="68"/>
        <v>0</v>
      </c>
      <c r="H171" s="8">
        <f t="shared" si="68"/>
        <v>0</v>
      </c>
      <c r="I171" s="43">
        <f t="shared" si="68"/>
        <v>0</v>
      </c>
      <c r="J171" s="8">
        <f t="shared" si="68"/>
        <v>0</v>
      </c>
      <c r="K171" s="43">
        <f t="shared" si="68"/>
        <v>0</v>
      </c>
      <c r="L171" s="81">
        <f t="shared" si="64"/>
        <v>142812</v>
      </c>
    </row>
    <row r="172" spans="1:12" ht="51">
      <c r="A172" s="89" t="s">
        <v>516</v>
      </c>
      <c r="B172" s="10" t="s">
        <v>517</v>
      </c>
      <c r="C172" s="81">
        <f t="shared" si="65"/>
        <v>142812</v>
      </c>
      <c r="D172" s="11">
        <v>112668</v>
      </c>
      <c r="E172" s="44">
        <v>0</v>
      </c>
      <c r="F172" s="11">
        <v>30144</v>
      </c>
      <c r="G172" s="44">
        <v>0</v>
      </c>
      <c r="H172" s="11">
        <v>0</v>
      </c>
      <c r="I172" s="44">
        <v>0</v>
      </c>
      <c r="J172" s="11">
        <v>0</v>
      </c>
      <c r="K172" s="44">
        <v>0</v>
      </c>
      <c r="L172" s="81">
        <f t="shared" si="64"/>
        <v>142812</v>
      </c>
    </row>
    <row r="173" spans="1:12" ht="15">
      <c r="A173" s="20" t="s">
        <v>459</v>
      </c>
      <c r="B173" s="16" t="s">
        <v>460</v>
      </c>
      <c r="C173" s="80">
        <f t="shared" si="65"/>
        <v>250800</v>
      </c>
      <c r="D173" s="8">
        <f aca="true" t="shared" si="69" ref="D173:K173">D174+D175</f>
        <v>154621</v>
      </c>
      <c r="E173" s="43">
        <f t="shared" si="69"/>
        <v>0</v>
      </c>
      <c r="F173" s="8">
        <f t="shared" si="69"/>
        <v>61179</v>
      </c>
      <c r="G173" s="43">
        <f t="shared" si="69"/>
        <v>0</v>
      </c>
      <c r="H173" s="8">
        <f t="shared" si="69"/>
        <v>35000</v>
      </c>
      <c r="I173" s="43">
        <f t="shared" si="69"/>
        <v>0</v>
      </c>
      <c r="J173" s="8">
        <f t="shared" si="69"/>
        <v>0</v>
      </c>
      <c r="K173" s="43">
        <f t="shared" si="69"/>
        <v>0</v>
      </c>
      <c r="L173" s="81">
        <f t="shared" si="59"/>
        <v>250800</v>
      </c>
    </row>
    <row r="174" spans="1:12" ht="21" customHeight="1">
      <c r="A174" s="89" t="s">
        <v>461</v>
      </c>
      <c r="B174" s="10" t="s">
        <v>462</v>
      </c>
      <c r="C174" s="81">
        <f t="shared" si="65"/>
        <v>35000</v>
      </c>
      <c r="D174" s="11">
        <v>0</v>
      </c>
      <c r="E174" s="44">
        <v>0</v>
      </c>
      <c r="F174" s="11">
        <v>0</v>
      </c>
      <c r="G174" s="44">
        <v>0</v>
      </c>
      <c r="H174" s="11">
        <v>35000</v>
      </c>
      <c r="I174" s="44">
        <v>0</v>
      </c>
      <c r="J174" s="11">
        <v>0</v>
      </c>
      <c r="K174" s="44">
        <v>0</v>
      </c>
      <c r="L174" s="81">
        <f t="shared" si="59"/>
        <v>35000</v>
      </c>
    </row>
    <row r="175" spans="1:12" ht="51">
      <c r="A175" s="89" t="s">
        <v>518</v>
      </c>
      <c r="B175" s="10" t="s">
        <v>519</v>
      </c>
      <c r="C175" s="81">
        <f t="shared" si="65"/>
        <v>215800</v>
      </c>
      <c r="D175" s="11">
        <v>154621</v>
      </c>
      <c r="E175" s="44">
        <v>0</v>
      </c>
      <c r="F175" s="11">
        <v>61179</v>
      </c>
      <c r="G175" s="44">
        <v>0</v>
      </c>
      <c r="H175" s="11">
        <v>0</v>
      </c>
      <c r="I175" s="44">
        <v>0</v>
      </c>
      <c r="J175" s="11">
        <v>0</v>
      </c>
      <c r="K175" s="44">
        <v>0</v>
      </c>
      <c r="L175" s="81">
        <f t="shared" si="59"/>
        <v>215800</v>
      </c>
    </row>
    <row r="176" spans="1:12" ht="15">
      <c r="A176" s="90" t="s">
        <v>520</v>
      </c>
      <c r="B176" s="7" t="s">
        <v>521</v>
      </c>
      <c r="C176" s="81">
        <f t="shared" si="65"/>
        <v>1179535</v>
      </c>
      <c r="D176" s="8">
        <f aca="true" t="shared" si="70" ref="D176:K176">D177+D181</f>
        <v>1172413</v>
      </c>
      <c r="E176" s="43">
        <f t="shared" si="70"/>
        <v>0</v>
      </c>
      <c r="F176" s="8">
        <f t="shared" si="70"/>
        <v>7122</v>
      </c>
      <c r="G176" s="43">
        <f t="shared" si="70"/>
        <v>0</v>
      </c>
      <c r="H176" s="8">
        <f t="shared" si="70"/>
        <v>0</v>
      </c>
      <c r="I176" s="43">
        <f t="shared" si="70"/>
        <v>0</v>
      </c>
      <c r="J176" s="8">
        <f t="shared" si="70"/>
        <v>0</v>
      </c>
      <c r="K176" s="43">
        <f t="shared" si="70"/>
        <v>0</v>
      </c>
      <c r="L176" s="81">
        <f>SUM(D176:K176)</f>
        <v>1179535</v>
      </c>
    </row>
    <row r="177" spans="1:12" ht="15">
      <c r="A177" s="6" t="s">
        <v>361</v>
      </c>
      <c r="B177" s="7" t="s">
        <v>362</v>
      </c>
      <c r="C177" s="80">
        <f t="shared" si="57"/>
        <v>1157441</v>
      </c>
      <c r="D177" s="8">
        <f>SUM(D178:D180)</f>
        <v>1150319</v>
      </c>
      <c r="E177" s="45">
        <f aca="true" t="shared" si="71" ref="E177:K177">SUM(E178:E180)</f>
        <v>0</v>
      </c>
      <c r="F177" s="17">
        <f t="shared" si="71"/>
        <v>7122</v>
      </c>
      <c r="G177" s="45">
        <f t="shared" si="71"/>
        <v>0</v>
      </c>
      <c r="H177" s="17">
        <f t="shared" si="71"/>
        <v>0</v>
      </c>
      <c r="I177" s="45">
        <f t="shared" si="71"/>
        <v>0</v>
      </c>
      <c r="J177" s="17">
        <f t="shared" si="71"/>
        <v>0</v>
      </c>
      <c r="K177" s="45">
        <f t="shared" si="71"/>
        <v>0</v>
      </c>
      <c r="L177" s="81">
        <f t="shared" si="59"/>
        <v>1157441</v>
      </c>
    </row>
    <row r="178" spans="1:12" ht="25.5">
      <c r="A178" s="12" t="s">
        <v>363</v>
      </c>
      <c r="B178" s="13" t="s">
        <v>364</v>
      </c>
      <c r="C178" s="81">
        <f t="shared" si="57"/>
        <v>1157441</v>
      </c>
      <c r="D178" s="14">
        <v>1150319</v>
      </c>
      <c r="E178" s="44">
        <v>0</v>
      </c>
      <c r="F178" s="11">
        <v>7122</v>
      </c>
      <c r="G178" s="44">
        <v>0</v>
      </c>
      <c r="H178" s="11">
        <v>0</v>
      </c>
      <c r="I178" s="44">
        <v>0</v>
      </c>
      <c r="J178" s="11">
        <v>0</v>
      </c>
      <c r="K178" s="44">
        <v>0</v>
      </c>
      <c r="L178" s="81">
        <f t="shared" si="59"/>
        <v>1157441</v>
      </c>
    </row>
    <row r="179" spans="1:12" ht="25.5" hidden="1">
      <c r="A179" s="151" t="s">
        <v>365</v>
      </c>
      <c r="B179" s="18" t="s">
        <v>366</v>
      </c>
      <c r="C179" s="82">
        <f t="shared" si="57"/>
        <v>0</v>
      </c>
      <c r="D179" s="19">
        <v>0</v>
      </c>
      <c r="E179" s="94">
        <v>0</v>
      </c>
      <c r="F179" s="19">
        <v>0</v>
      </c>
      <c r="G179" s="199">
        <v>0</v>
      </c>
      <c r="H179" s="192">
        <v>0</v>
      </c>
      <c r="I179" s="199">
        <v>0</v>
      </c>
      <c r="J179" s="192">
        <v>0</v>
      </c>
      <c r="K179" s="199">
        <v>0</v>
      </c>
      <c r="L179" s="198">
        <f t="shared" si="59"/>
        <v>0</v>
      </c>
    </row>
    <row r="180" spans="1:12" ht="25.5" hidden="1">
      <c r="A180" s="151" t="s">
        <v>367</v>
      </c>
      <c r="B180" s="18" t="s">
        <v>368</v>
      </c>
      <c r="C180" s="82">
        <f t="shared" si="57"/>
        <v>0</v>
      </c>
      <c r="D180" s="19">
        <v>0</v>
      </c>
      <c r="E180" s="94">
        <v>0</v>
      </c>
      <c r="F180" s="19">
        <v>0</v>
      </c>
      <c r="G180" s="199">
        <v>0</v>
      </c>
      <c r="H180" s="192">
        <v>0</v>
      </c>
      <c r="I180" s="199">
        <v>0</v>
      </c>
      <c r="J180" s="192">
        <v>0</v>
      </c>
      <c r="K180" s="199">
        <v>0</v>
      </c>
      <c r="L180" s="198">
        <f t="shared" si="59"/>
        <v>0</v>
      </c>
    </row>
    <row r="181" spans="1:12" ht="25.5">
      <c r="A181" s="6" t="s">
        <v>369</v>
      </c>
      <c r="B181" s="7" t="s">
        <v>370</v>
      </c>
      <c r="C181" s="80">
        <f t="shared" si="57"/>
        <v>22094</v>
      </c>
      <c r="D181" s="8">
        <f aca="true" t="shared" si="72" ref="D181:K181">D182+D183</f>
        <v>22094</v>
      </c>
      <c r="E181" s="45">
        <f t="shared" si="72"/>
        <v>0</v>
      </c>
      <c r="F181" s="8">
        <f t="shared" si="72"/>
        <v>0</v>
      </c>
      <c r="G181" s="45">
        <f t="shared" si="72"/>
        <v>0</v>
      </c>
      <c r="H181" s="8">
        <f t="shared" si="72"/>
        <v>0</v>
      </c>
      <c r="I181" s="45">
        <f t="shared" si="72"/>
        <v>0</v>
      </c>
      <c r="J181" s="8">
        <f t="shared" si="72"/>
        <v>0</v>
      </c>
      <c r="K181" s="45">
        <f t="shared" si="72"/>
        <v>0</v>
      </c>
      <c r="L181" s="81">
        <f t="shared" si="59"/>
        <v>22094</v>
      </c>
    </row>
    <row r="182" spans="1:12" ht="38.25">
      <c r="A182" s="89" t="s">
        <v>463</v>
      </c>
      <c r="B182" s="10" t="s">
        <v>473</v>
      </c>
      <c r="C182" s="81">
        <f t="shared" si="57"/>
        <v>22094</v>
      </c>
      <c r="D182" s="14">
        <v>22094</v>
      </c>
      <c r="E182" s="44">
        <v>0</v>
      </c>
      <c r="F182" s="11">
        <v>0</v>
      </c>
      <c r="G182" s="44">
        <v>0</v>
      </c>
      <c r="H182" s="11">
        <v>0</v>
      </c>
      <c r="I182" s="44">
        <v>0</v>
      </c>
      <c r="J182" s="11">
        <v>0</v>
      </c>
      <c r="K182" s="44">
        <v>0</v>
      </c>
      <c r="L182" s="81">
        <f t="shared" si="59"/>
        <v>22094</v>
      </c>
    </row>
    <row r="183" spans="1:12" ht="15" hidden="1">
      <c r="A183" s="91" t="s">
        <v>487</v>
      </c>
      <c r="B183" s="67" t="s">
        <v>488</v>
      </c>
      <c r="C183" s="82">
        <f t="shared" si="57"/>
        <v>0</v>
      </c>
      <c r="D183" s="19">
        <v>0</v>
      </c>
      <c r="E183" s="199">
        <v>0</v>
      </c>
      <c r="F183" s="192">
        <v>0</v>
      </c>
      <c r="G183" s="199">
        <v>0</v>
      </c>
      <c r="H183" s="192">
        <v>0</v>
      </c>
      <c r="I183" s="199">
        <v>0</v>
      </c>
      <c r="J183" s="192">
        <v>0</v>
      </c>
      <c r="K183" s="199">
        <v>0</v>
      </c>
      <c r="L183" s="198">
        <f t="shared" si="59"/>
        <v>0</v>
      </c>
    </row>
    <row r="184" spans="1:12" ht="15">
      <c r="A184" s="39" t="s">
        <v>49</v>
      </c>
      <c r="B184" s="40" t="s">
        <v>169</v>
      </c>
      <c r="C184" s="5">
        <f t="shared" si="57"/>
        <v>12657595</v>
      </c>
      <c r="D184" s="41">
        <f>D185+D194+D197+D200+D202+D204+D214</f>
        <v>9333475</v>
      </c>
      <c r="E184" s="42">
        <f aca="true" t="shared" si="73" ref="E184:K184">E185+E194+E197+E201+E203+E204+E214</f>
        <v>0</v>
      </c>
      <c r="F184" s="41">
        <f t="shared" si="73"/>
        <v>92429</v>
      </c>
      <c r="G184" s="194">
        <f t="shared" si="73"/>
        <v>0</v>
      </c>
      <c r="H184" s="193">
        <f t="shared" si="73"/>
        <v>3231691</v>
      </c>
      <c r="I184" s="194">
        <f t="shared" si="73"/>
        <v>15976</v>
      </c>
      <c r="J184" s="193">
        <f t="shared" si="73"/>
        <v>0</v>
      </c>
      <c r="K184" s="194">
        <f t="shared" si="73"/>
        <v>0</v>
      </c>
      <c r="L184" s="191">
        <f t="shared" si="59"/>
        <v>12673571</v>
      </c>
    </row>
    <row r="185" spans="1:12" ht="20.25" customHeight="1">
      <c r="A185" s="6" t="s">
        <v>371</v>
      </c>
      <c r="B185" s="7" t="s">
        <v>372</v>
      </c>
      <c r="C185" s="80">
        <f t="shared" si="57"/>
        <v>3344165</v>
      </c>
      <c r="D185" s="8">
        <f>SUM(D186:D193)</f>
        <v>1132783</v>
      </c>
      <c r="E185" s="43">
        <f aca="true" t="shared" si="74" ref="E185:K185">SUM(E186:E193)</f>
        <v>0</v>
      </c>
      <c r="F185" s="8">
        <f t="shared" si="74"/>
        <v>38589</v>
      </c>
      <c r="G185" s="43">
        <f t="shared" si="74"/>
        <v>0</v>
      </c>
      <c r="H185" s="8">
        <f t="shared" si="74"/>
        <v>2172793</v>
      </c>
      <c r="I185" s="43">
        <f t="shared" si="74"/>
        <v>15976</v>
      </c>
      <c r="J185" s="8">
        <f t="shared" si="74"/>
        <v>0</v>
      </c>
      <c r="K185" s="43">
        <f t="shared" si="74"/>
        <v>0</v>
      </c>
      <c r="L185" s="81">
        <f t="shared" si="59"/>
        <v>3360141</v>
      </c>
    </row>
    <row r="186" spans="1:12" ht="33" customHeight="1">
      <c r="A186" s="12" t="s">
        <v>373</v>
      </c>
      <c r="B186" s="13" t="s">
        <v>374</v>
      </c>
      <c r="C186" s="81">
        <f aca="true" t="shared" si="75" ref="C186:C193">D186+F186+H186+J186</f>
        <v>2382983</v>
      </c>
      <c r="D186" s="14">
        <v>326926</v>
      </c>
      <c r="E186" s="44">
        <v>0</v>
      </c>
      <c r="F186" s="11">
        <v>0</v>
      </c>
      <c r="G186" s="44">
        <v>0</v>
      </c>
      <c r="H186" s="11">
        <v>2056057</v>
      </c>
      <c r="I186" s="44">
        <v>0</v>
      </c>
      <c r="J186" s="11">
        <v>0</v>
      </c>
      <c r="K186" s="44">
        <v>0</v>
      </c>
      <c r="L186" s="81">
        <f aca="true" t="shared" si="76" ref="L186:L193">SUM(D186:K186)</f>
        <v>2382983</v>
      </c>
    </row>
    <row r="187" spans="1:12" ht="15">
      <c r="A187" s="12" t="s">
        <v>375</v>
      </c>
      <c r="B187" s="13" t="s">
        <v>376</v>
      </c>
      <c r="C187" s="81">
        <f t="shared" si="75"/>
        <v>151249</v>
      </c>
      <c r="D187" s="14">
        <v>136398</v>
      </c>
      <c r="E187" s="44">
        <v>0</v>
      </c>
      <c r="F187" s="11">
        <v>14851</v>
      </c>
      <c r="G187" s="44">
        <v>0</v>
      </c>
      <c r="H187" s="11">
        <v>0</v>
      </c>
      <c r="I187" s="44">
        <v>0</v>
      </c>
      <c r="J187" s="11">
        <v>0</v>
      </c>
      <c r="K187" s="44">
        <v>0</v>
      </c>
      <c r="L187" s="81">
        <f t="shared" si="76"/>
        <v>151249</v>
      </c>
    </row>
    <row r="188" spans="1:12" ht="15">
      <c r="A188" s="12" t="s">
        <v>377</v>
      </c>
      <c r="B188" s="13" t="s">
        <v>378</v>
      </c>
      <c r="C188" s="81">
        <f t="shared" si="75"/>
        <v>132839</v>
      </c>
      <c r="D188" s="14">
        <v>123902</v>
      </c>
      <c r="E188" s="44">
        <v>0</v>
      </c>
      <c r="F188" s="11">
        <v>8937</v>
      </c>
      <c r="G188" s="44">
        <v>0</v>
      </c>
      <c r="H188" s="11">
        <v>0</v>
      </c>
      <c r="I188" s="44">
        <v>0</v>
      </c>
      <c r="J188" s="11">
        <v>0</v>
      </c>
      <c r="K188" s="44">
        <v>0</v>
      </c>
      <c r="L188" s="81">
        <f t="shared" si="76"/>
        <v>132839</v>
      </c>
    </row>
    <row r="189" spans="1:12" ht="15">
      <c r="A189" s="12" t="s">
        <v>379</v>
      </c>
      <c r="B189" s="13" t="s">
        <v>380</v>
      </c>
      <c r="C189" s="81">
        <f t="shared" si="75"/>
        <v>146982</v>
      </c>
      <c r="D189" s="14">
        <v>143149</v>
      </c>
      <c r="E189" s="44">
        <v>0</v>
      </c>
      <c r="F189" s="11">
        <v>3833</v>
      </c>
      <c r="G189" s="44">
        <v>0</v>
      </c>
      <c r="H189" s="11">
        <v>0</v>
      </c>
      <c r="I189" s="44">
        <v>0</v>
      </c>
      <c r="J189" s="11">
        <v>0</v>
      </c>
      <c r="K189" s="44">
        <v>0</v>
      </c>
      <c r="L189" s="81">
        <f t="shared" si="76"/>
        <v>146982</v>
      </c>
    </row>
    <row r="190" spans="1:12" ht="15">
      <c r="A190" s="12" t="s">
        <v>381</v>
      </c>
      <c r="B190" s="13" t="s">
        <v>382</v>
      </c>
      <c r="C190" s="81">
        <f t="shared" si="75"/>
        <v>166704</v>
      </c>
      <c r="D190" s="14">
        <v>74175</v>
      </c>
      <c r="E190" s="44">
        <v>0</v>
      </c>
      <c r="F190" s="11">
        <v>5793</v>
      </c>
      <c r="G190" s="44">
        <v>0</v>
      </c>
      <c r="H190" s="11">
        <v>86736</v>
      </c>
      <c r="I190" s="44">
        <v>15976</v>
      </c>
      <c r="J190" s="11">
        <v>0</v>
      </c>
      <c r="K190" s="44">
        <v>0</v>
      </c>
      <c r="L190" s="81">
        <f t="shared" si="76"/>
        <v>182680</v>
      </c>
    </row>
    <row r="191" spans="1:12" ht="15">
      <c r="A191" s="12" t="s">
        <v>464</v>
      </c>
      <c r="B191" s="13" t="s">
        <v>465</v>
      </c>
      <c r="C191" s="81">
        <f t="shared" si="75"/>
        <v>181354</v>
      </c>
      <c r="D191" s="14">
        <v>176179</v>
      </c>
      <c r="E191" s="44">
        <v>0</v>
      </c>
      <c r="F191" s="11">
        <v>5175</v>
      </c>
      <c r="G191" s="44">
        <v>0</v>
      </c>
      <c r="H191" s="11">
        <v>0</v>
      </c>
      <c r="I191" s="44">
        <v>0</v>
      </c>
      <c r="J191" s="11">
        <v>0</v>
      </c>
      <c r="K191" s="44">
        <v>0</v>
      </c>
      <c r="L191" s="81">
        <f t="shared" si="76"/>
        <v>181354</v>
      </c>
    </row>
    <row r="192" spans="1:12" ht="15">
      <c r="A192" s="12" t="s">
        <v>522</v>
      </c>
      <c r="B192" s="13" t="s">
        <v>523</v>
      </c>
      <c r="C192" s="81">
        <f t="shared" si="75"/>
        <v>145754</v>
      </c>
      <c r="D192" s="14">
        <v>145754</v>
      </c>
      <c r="E192" s="44">
        <v>0</v>
      </c>
      <c r="F192" s="11">
        <v>0</v>
      </c>
      <c r="G192" s="44">
        <v>0</v>
      </c>
      <c r="H192" s="11">
        <v>0</v>
      </c>
      <c r="I192" s="44">
        <v>0</v>
      </c>
      <c r="J192" s="11">
        <v>0</v>
      </c>
      <c r="K192" s="44">
        <v>0</v>
      </c>
      <c r="L192" s="81">
        <f t="shared" si="76"/>
        <v>145754</v>
      </c>
    </row>
    <row r="193" spans="1:12" ht="51">
      <c r="A193" s="12" t="s">
        <v>924</v>
      </c>
      <c r="B193" s="13" t="s">
        <v>925</v>
      </c>
      <c r="C193" s="81">
        <f t="shared" si="75"/>
        <v>36300</v>
      </c>
      <c r="D193" s="11">
        <v>6300</v>
      </c>
      <c r="E193" s="44">
        <v>0</v>
      </c>
      <c r="F193" s="11">
        <v>0</v>
      </c>
      <c r="G193" s="44">
        <v>0</v>
      </c>
      <c r="H193" s="11">
        <v>30000</v>
      </c>
      <c r="I193" s="44">
        <v>0</v>
      </c>
      <c r="J193" s="11">
        <v>0</v>
      </c>
      <c r="K193" s="44">
        <v>0</v>
      </c>
      <c r="L193" s="81">
        <f t="shared" si="76"/>
        <v>36300</v>
      </c>
    </row>
    <row r="194" spans="1:12" ht="15">
      <c r="A194" s="6" t="s">
        <v>383</v>
      </c>
      <c r="B194" s="7" t="s">
        <v>384</v>
      </c>
      <c r="C194" s="80">
        <f aca="true" t="shared" si="77" ref="C194:C204">D194+F194+H194+J194</f>
        <v>2008350</v>
      </c>
      <c r="D194" s="8">
        <f>SUM(D195:D196)</f>
        <v>2002116</v>
      </c>
      <c r="E194" s="45">
        <f aca="true" t="shared" si="78" ref="E194:K194">SUM(E195:E196)</f>
        <v>0</v>
      </c>
      <c r="F194" s="17">
        <f t="shared" si="78"/>
        <v>16</v>
      </c>
      <c r="G194" s="45">
        <f t="shared" si="78"/>
        <v>0</v>
      </c>
      <c r="H194" s="17">
        <f t="shared" si="78"/>
        <v>6218</v>
      </c>
      <c r="I194" s="45">
        <f t="shared" si="78"/>
        <v>0</v>
      </c>
      <c r="J194" s="17">
        <f t="shared" si="78"/>
        <v>0</v>
      </c>
      <c r="K194" s="43">
        <f t="shared" si="78"/>
        <v>0</v>
      </c>
      <c r="L194" s="81">
        <f aca="true" t="shared" si="79" ref="L194:L204">SUM(D194:K194)</f>
        <v>2008350</v>
      </c>
    </row>
    <row r="195" spans="1:12" ht="25.5">
      <c r="A195" s="12" t="s">
        <v>385</v>
      </c>
      <c r="B195" s="13" t="s">
        <v>386</v>
      </c>
      <c r="C195" s="81">
        <f t="shared" si="77"/>
        <v>406660</v>
      </c>
      <c r="D195" s="14">
        <v>406644</v>
      </c>
      <c r="E195" s="44">
        <v>0</v>
      </c>
      <c r="F195" s="11">
        <v>16</v>
      </c>
      <c r="G195" s="44">
        <v>0</v>
      </c>
      <c r="H195" s="11">
        <v>0</v>
      </c>
      <c r="I195" s="44">
        <v>0</v>
      </c>
      <c r="J195" s="11">
        <v>0</v>
      </c>
      <c r="K195" s="44">
        <v>0</v>
      </c>
      <c r="L195" s="81">
        <f t="shared" si="79"/>
        <v>406660</v>
      </c>
    </row>
    <row r="196" spans="1:12" ht="15">
      <c r="A196" s="12" t="s">
        <v>387</v>
      </c>
      <c r="B196" s="13" t="s">
        <v>388</v>
      </c>
      <c r="C196" s="81">
        <f t="shared" si="77"/>
        <v>1601690</v>
      </c>
      <c r="D196" s="14">
        <v>1595472</v>
      </c>
      <c r="E196" s="44">
        <v>0</v>
      </c>
      <c r="F196" s="11">
        <v>0</v>
      </c>
      <c r="G196" s="44">
        <v>0</v>
      </c>
      <c r="H196" s="11">
        <v>6218</v>
      </c>
      <c r="I196" s="44">
        <v>0</v>
      </c>
      <c r="J196" s="11">
        <v>0</v>
      </c>
      <c r="K196" s="44">
        <v>0</v>
      </c>
      <c r="L196" s="81">
        <f t="shared" si="79"/>
        <v>1601690</v>
      </c>
    </row>
    <row r="197" spans="1:12" ht="15">
      <c r="A197" s="6" t="s">
        <v>389</v>
      </c>
      <c r="B197" s="7" t="s">
        <v>390</v>
      </c>
      <c r="C197" s="80">
        <f t="shared" si="77"/>
        <v>2354580</v>
      </c>
      <c r="D197" s="8">
        <f aca="true" t="shared" si="80" ref="D197:K197">SUM(D198:D199)</f>
        <v>2191144</v>
      </c>
      <c r="E197" s="45">
        <f t="shared" si="80"/>
        <v>0</v>
      </c>
      <c r="F197" s="17">
        <f t="shared" si="80"/>
        <v>27968</v>
      </c>
      <c r="G197" s="45">
        <f t="shared" si="80"/>
        <v>0</v>
      </c>
      <c r="H197" s="17">
        <f t="shared" si="80"/>
        <v>135468</v>
      </c>
      <c r="I197" s="45">
        <f t="shared" si="80"/>
        <v>0</v>
      </c>
      <c r="J197" s="17">
        <f t="shared" si="80"/>
        <v>0</v>
      </c>
      <c r="K197" s="43">
        <f t="shared" si="80"/>
        <v>0</v>
      </c>
      <c r="L197" s="81">
        <f t="shared" si="79"/>
        <v>2354580</v>
      </c>
    </row>
    <row r="198" spans="1:12" ht="38.25">
      <c r="A198" s="12" t="s">
        <v>391</v>
      </c>
      <c r="B198" s="13" t="s">
        <v>392</v>
      </c>
      <c r="C198" s="81">
        <f t="shared" si="77"/>
        <v>1958931</v>
      </c>
      <c r="D198" s="14">
        <v>1795495</v>
      </c>
      <c r="E198" s="44">
        <v>0</v>
      </c>
      <c r="F198" s="11">
        <v>27968</v>
      </c>
      <c r="G198" s="44">
        <v>0</v>
      </c>
      <c r="H198" s="11">
        <v>135468</v>
      </c>
      <c r="I198" s="44">
        <v>0</v>
      </c>
      <c r="J198" s="11">
        <v>0</v>
      </c>
      <c r="K198" s="44">
        <v>0</v>
      </c>
      <c r="L198" s="81">
        <f t="shared" si="79"/>
        <v>1958931</v>
      </c>
    </row>
    <row r="199" spans="1:12" ht="25.5">
      <c r="A199" s="12" t="s">
        <v>393</v>
      </c>
      <c r="B199" s="13" t="s">
        <v>524</v>
      </c>
      <c r="C199" s="81">
        <f t="shared" si="77"/>
        <v>395649</v>
      </c>
      <c r="D199" s="14">
        <v>395649</v>
      </c>
      <c r="E199" s="44">
        <v>0</v>
      </c>
      <c r="F199" s="11">
        <v>0</v>
      </c>
      <c r="G199" s="44">
        <v>0</v>
      </c>
      <c r="H199" s="11">
        <v>0</v>
      </c>
      <c r="I199" s="44">
        <v>0</v>
      </c>
      <c r="J199" s="11">
        <v>0</v>
      </c>
      <c r="K199" s="44">
        <v>0</v>
      </c>
      <c r="L199" s="81">
        <f t="shared" si="79"/>
        <v>395649</v>
      </c>
    </row>
    <row r="200" spans="1:12" ht="15">
      <c r="A200" s="6" t="s">
        <v>394</v>
      </c>
      <c r="B200" s="7" t="s">
        <v>395</v>
      </c>
      <c r="C200" s="80">
        <f t="shared" si="77"/>
        <v>55395</v>
      </c>
      <c r="D200" s="8">
        <f>D201</f>
        <v>23800</v>
      </c>
      <c r="E200" s="43">
        <f aca="true" t="shared" si="81" ref="E200:K200">E201</f>
        <v>0</v>
      </c>
      <c r="F200" s="8">
        <f t="shared" si="81"/>
        <v>0</v>
      </c>
      <c r="G200" s="43">
        <f t="shared" si="81"/>
        <v>0</v>
      </c>
      <c r="H200" s="8">
        <f t="shared" si="81"/>
        <v>31595</v>
      </c>
      <c r="I200" s="43">
        <f t="shared" si="81"/>
        <v>0</v>
      </c>
      <c r="J200" s="8">
        <f t="shared" si="81"/>
        <v>0</v>
      </c>
      <c r="K200" s="43">
        <f t="shared" si="81"/>
        <v>0</v>
      </c>
      <c r="L200" s="81">
        <f t="shared" si="79"/>
        <v>55395</v>
      </c>
    </row>
    <row r="201" spans="1:12" ht="15">
      <c r="A201" s="12" t="s">
        <v>396</v>
      </c>
      <c r="B201" s="13" t="s">
        <v>395</v>
      </c>
      <c r="C201" s="81">
        <f t="shared" si="77"/>
        <v>55395</v>
      </c>
      <c r="D201" s="14">
        <v>23800</v>
      </c>
      <c r="E201" s="44">
        <v>0</v>
      </c>
      <c r="F201" s="11">
        <v>0</v>
      </c>
      <c r="G201" s="44">
        <v>0</v>
      </c>
      <c r="H201" s="11">
        <v>31595</v>
      </c>
      <c r="I201" s="44">
        <v>0</v>
      </c>
      <c r="J201" s="11">
        <v>0</v>
      </c>
      <c r="K201" s="44">
        <v>0</v>
      </c>
      <c r="L201" s="81">
        <f t="shared" si="79"/>
        <v>55395</v>
      </c>
    </row>
    <row r="202" spans="1:12" ht="15">
      <c r="A202" s="6" t="s">
        <v>397</v>
      </c>
      <c r="B202" s="7" t="s">
        <v>398</v>
      </c>
      <c r="C202" s="80">
        <f t="shared" si="77"/>
        <v>1092398</v>
      </c>
      <c r="D202" s="8">
        <f>D203</f>
        <v>613403</v>
      </c>
      <c r="E202" s="43">
        <f aca="true" t="shared" si="82" ref="E202:K202">E203</f>
        <v>0</v>
      </c>
      <c r="F202" s="8">
        <f t="shared" si="82"/>
        <v>0</v>
      </c>
      <c r="G202" s="43">
        <f t="shared" si="82"/>
        <v>0</v>
      </c>
      <c r="H202" s="8">
        <f t="shared" si="82"/>
        <v>478995</v>
      </c>
      <c r="I202" s="43">
        <f t="shared" si="82"/>
        <v>0</v>
      </c>
      <c r="J202" s="8">
        <f t="shared" si="82"/>
        <v>0</v>
      </c>
      <c r="K202" s="43">
        <f t="shared" si="82"/>
        <v>0</v>
      </c>
      <c r="L202" s="81">
        <f t="shared" si="79"/>
        <v>1092398</v>
      </c>
    </row>
    <row r="203" spans="1:12" ht="32.25" customHeight="1">
      <c r="A203" s="12" t="s">
        <v>399</v>
      </c>
      <c r="B203" s="13" t="s">
        <v>466</v>
      </c>
      <c r="C203" s="81">
        <f t="shared" si="77"/>
        <v>1092398</v>
      </c>
      <c r="D203" s="14">
        <v>613403</v>
      </c>
      <c r="E203" s="44">
        <v>0</v>
      </c>
      <c r="F203" s="11">
        <v>0</v>
      </c>
      <c r="G203" s="44">
        <v>0</v>
      </c>
      <c r="H203" s="11">
        <v>478995</v>
      </c>
      <c r="I203" s="44">
        <v>0</v>
      </c>
      <c r="J203" s="11">
        <v>0</v>
      </c>
      <c r="K203" s="44">
        <v>0</v>
      </c>
      <c r="L203" s="81">
        <f t="shared" si="79"/>
        <v>1092398</v>
      </c>
    </row>
    <row r="204" spans="1:12" ht="25.5">
      <c r="A204" s="6" t="s">
        <v>400</v>
      </c>
      <c r="B204" s="7" t="s">
        <v>401</v>
      </c>
      <c r="C204" s="80">
        <f t="shared" si="77"/>
        <v>1195789</v>
      </c>
      <c r="D204" s="8">
        <f>SUM(D205:D213)</f>
        <v>925999</v>
      </c>
      <c r="E204" s="43">
        <f aca="true" t="shared" si="83" ref="E204:K204">SUM(E205:E213)</f>
        <v>0</v>
      </c>
      <c r="F204" s="8">
        <f t="shared" si="83"/>
        <v>25188</v>
      </c>
      <c r="G204" s="43">
        <f t="shared" si="83"/>
        <v>0</v>
      </c>
      <c r="H204" s="8">
        <f t="shared" si="83"/>
        <v>244602</v>
      </c>
      <c r="I204" s="43">
        <f t="shared" si="83"/>
        <v>0</v>
      </c>
      <c r="J204" s="8">
        <f t="shared" si="83"/>
        <v>0</v>
      </c>
      <c r="K204" s="43">
        <f t="shared" si="83"/>
        <v>0</v>
      </c>
      <c r="L204" s="81">
        <f t="shared" si="79"/>
        <v>1195789</v>
      </c>
    </row>
    <row r="205" spans="1:12" ht="15">
      <c r="A205" s="12" t="s">
        <v>402</v>
      </c>
      <c r="B205" s="13" t="s">
        <v>403</v>
      </c>
      <c r="C205" s="81">
        <f aca="true" t="shared" si="84" ref="C205:C213">D205+F205+H205+J205</f>
        <v>18831</v>
      </c>
      <c r="D205" s="14">
        <v>18731</v>
      </c>
      <c r="E205" s="44">
        <v>0</v>
      </c>
      <c r="F205" s="11">
        <v>100</v>
      </c>
      <c r="G205" s="44">
        <v>0</v>
      </c>
      <c r="H205" s="11">
        <v>0</v>
      </c>
      <c r="I205" s="44">
        <v>0</v>
      </c>
      <c r="J205" s="11">
        <v>0</v>
      </c>
      <c r="K205" s="44">
        <v>0</v>
      </c>
      <c r="L205" s="81">
        <f aca="true" t="shared" si="85" ref="L205:L213">SUM(D205:K205)</f>
        <v>18831</v>
      </c>
    </row>
    <row r="206" spans="1:12" ht="51">
      <c r="A206" s="12" t="s">
        <v>404</v>
      </c>
      <c r="B206" s="13" t="s">
        <v>405</v>
      </c>
      <c r="C206" s="81">
        <f t="shared" si="84"/>
        <v>415754</v>
      </c>
      <c r="D206" s="14">
        <v>171152</v>
      </c>
      <c r="E206" s="44">
        <v>0</v>
      </c>
      <c r="F206" s="11">
        <v>0</v>
      </c>
      <c r="G206" s="44">
        <v>0</v>
      </c>
      <c r="H206" s="11">
        <v>244602</v>
      </c>
      <c r="I206" s="44">
        <v>0</v>
      </c>
      <c r="J206" s="11">
        <v>0</v>
      </c>
      <c r="K206" s="44">
        <v>0</v>
      </c>
      <c r="L206" s="81">
        <f t="shared" si="85"/>
        <v>415754</v>
      </c>
    </row>
    <row r="207" spans="1:12" ht="15">
      <c r="A207" s="12" t="s">
        <v>406</v>
      </c>
      <c r="B207" s="13" t="s">
        <v>407</v>
      </c>
      <c r="C207" s="81">
        <f t="shared" si="84"/>
        <v>113482</v>
      </c>
      <c r="D207" s="14">
        <v>110099</v>
      </c>
      <c r="E207" s="44">
        <v>0</v>
      </c>
      <c r="F207" s="11">
        <v>3383</v>
      </c>
      <c r="G207" s="44">
        <v>0</v>
      </c>
      <c r="H207" s="11">
        <v>0</v>
      </c>
      <c r="I207" s="44">
        <v>0</v>
      </c>
      <c r="J207" s="11">
        <v>0</v>
      </c>
      <c r="K207" s="44">
        <v>0</v>
      </c>
      <c r="L207" s="81">
        <f t="shared" si="85"/>
        <v>113482</v>
      </c>
    </row>
    <row r="208" spans="1:12" ht="15">
      <c r="A208" s="12" t="s">
        <v>408</v>
      </c>
      <c r="B208" s="13" t="s">
        <v>409</v>
      </c>
      <c r="C208" s="81">
        <f t="shared" si="84"/>
        <v>19479</v>
      </c>
      <c r="D208" s="14">
        <v>13561</v>
      </c>
      <c r="E208" s="44">
        <v>0</v>
      </c>
      <c r="F208" s="11">
        <v>5918</v>
      </c>
      <c r="G208" s="44">
        <v>0</v>
      </c>
      <c r="H208" s="11">
        <v>0</v>
      </c>
      <c r="I208" s="44">
        <v>0</v>
      </c>
      <c r="J208" s="11">
        <v>0</v>
      </c>
      <c r="K208" s="44">
        <v>0</v>
      </c>
      <c r="L208" s="81">
        <f t="shared" si="85"/>
        <v>19479</v>
      </c>
    </row>
    <row r="209" spans="1:12" ht="15">
      <c r="A209" s="12" t="s">
        <v>410</v>
      </c>
      <c r="B209" s="13" t="s">
        <v>411</v>
      </c>
      <c r="C209" s="81">
        <f t="shared" si="84"/>
        <v>287804</v>
      </c>
      <c r="D209" s="14">
        <v>272102</v>
      </c>
      <c r="E209" s="44">
        <v>0</v>
      </c>
      <c r="F209" s="11">
        <v>15702</v>
      </c>
      <c r="G209" s="44">
        <v>0</v>
      </c>
      <c r="H209" s="11">
        <v>0</v>
      </c>
      <c r="I209" s="44">
        <v>0</v>
      </c>
      <c r="J209" s="11">
        <v>0</v>
      </c>
      <c r="K209" s="44">
        <v>0</v>
      </c>
      <c r="L209" s="81">
        <f t="shared" si="85"/>
        <v>287804</v>
      </c>
    </row>
    <row r="210" spans="1:12" ht="38.25" hidden="1">
      <c r="A210" s="151" t="s">
        <v>412</v>
      </c>
      <c r="B210" s="18" t="s">
        <v>435</v>
      </c>
      <c r="C210" s="82">
        <f t="shared" si="84"/>
        <v>0</v>
      </c>
      <c r="D210" s="19">
        <v>0</v>
      </c>
      <c r="E210" s="94">
        <v>0</v>
      </c>
      <c r="F210" s="19">
        <v>0</v>
      </c>
      <c r="G210" s="199">
        <v>0</v>
      </c>
      <c r="H210" s="192">
        <v>0</v>
      </c>
      <c r="I210" s="199">
        <v>0</v>
      </c>
      <c r="J210" s="192">
        <v>0</v>
      </c>
      <c r="K210" s="199">
        <v>0</v>
      </c>
      <c r="L210" s="198">
        <f t="shared" si="85"/>
        <v>0</v>
      </c>
    </row>
    <row r="211" spans="1:12" ht="51" hidden="1">
      <c r="A211" s="151" t="s">
        <v>436</v>
      </c>
      <c r="B211" s="18" t="s">
        <v>437</v>
      </c>
      <c r="C211" s="82">
        <f t="shared" si="84"/>
        <v>0</v>
      </c>
      <c r="D211" s="19">
        <v>0</v>
      </c>
      <c r="E211" s="94">
        <v>0</v>
      </c>
      <c r="F211" s="19">
        <v>0</v>
      </c>
      <c r="G211" s="199">
        <v>0</v>
      </c>
      <c r="H211" s="192">
        <v>0</v>
      </c>
      <c r="I211" s="199">
        <v>0</v>
      </c>
      <c r="J211" s="192">
        <v>0</v>
      </c>
      <c r="K211" s="199">
        <v>0</v>
      </c>
      <c r="L211" s="198">
        <f t="shared" si="85"/>
        <v>0</v>
      </c>
    </row>
    <row r="212" spans="1:12" ht="15">
      <c r="A212" s="88" t="s">
        <v>467</v>
      </c>
      <c r="B212" s="10" t="s">
        <v>468</v>
      </c>
      <c r="C212" s="81">
        <f t="shared" si="84"/>
        <v>128614</v>
      </c>
      <c r="D212" s="14">
        <v>128529</v>
      </c>
      <c r="E212" s="44">
        <v>0</v>
      </c>
      <c r="F212" s="11">
        <v>85</v>
      </c>
      <c r="G212" s="44">
        <v>0</v>
      </c>
      <c r="H212" s="11">
        <v>0</v>
      </c>
      <c r="I212" s="44">
        <v>0</v>
      </c>
      <c r="J212" s="11">
        <v>0</v>
      </c>
      <c r="K212" s="44">
        <v>0</v>
      </c>
      <c r="L212" s="81">
        <f t="shared" si="85"/>
        <v>128614</v>
      </c>
    </row>
    <row r="213" spans="1:12" ht="15">
      <c r="A213" s="88" t="s">
        <v>926</v>
      </c>
      <c r="B213" s="10" t="s">
        <v>927</v>
      </c>
      <c r="C213" s="189">
        <f t="shared" si="84"/>
        <v>211825</v>
      </c>
      <c r="D213" s="188">
        <v>211825</v>
      </c>
      <c r="E213" s="187">
        <v>0</v>
      </c>
      <c r="F213" s="188">
        <v>0</v>
      </c>
      <c r="G213" s="187">
        <v>0</v>
      </c>
      <c r="H213" s="188">
        <v>0</v>
      </c>
      <c r="I213" s="187">
        <v>0</v>
      </c>
      <c r="J213" s="188">
        <v>0</v>
      </c>
      <c r="K213" s="187">
        <v>0</v>
      </c>
      <c r="L213" s="81">
        <f t="shared" si="85"/>
        <v>211825</v>
      </c>
    </row>
    <row r="214" spans="1:12" ht="25.5">
      <c r="A214" s="6" t="s">
        <v>413</v>
      </c>
      <c r="B214" s="7" t="s">
        <v>414</v>
      </c>
      <c r="C214" s="80">
        <f aca="true" t="shared" si="86" ref="C214:C226">D214+F214+H214+J214</f>
        <v>2606918</v>
      </c>
      <c r="D214" s="8">
        <f>SUM(D215:D218)</f>
        <v>2444230</v>
      </c>
      <c r="E214" s="45">
        <f aca="true" t="shared" si="87" ref="E214:K214">SUM(E215:E218)</f>
        <v>0</v>
      </c>
      <c r="F214" s="17">
        <f t="shared" si="87"/>
        <v>668</v>
      </c>
      <c r="G214" s="45">
        <f t="shared" si="87"/>
        <v>0</v>
      </c>
      <c r="H214" s="17">
        <f t="shared" si="87"/>
        <v>162020</v>
      </c>
      <c r="I214" s="45">
        <f t="shared" si="87"/>
        <v>0</v>
      </c>
      <c r="J214" s="17">
        <f t="shared" si="87"/>
        <v>0</v>
      </c>
      <c r="K214" s="43">
        <f t="shared" si="87"/>
        <v>0</v>
      </c>
      <c r="L214" s="81">
        <f aca="true" t="shared" si="88" ref="L214:L221">SUM(D214:K214)</f>
        <v>2606918</v>
      </c>
    </row>
    <row r="215" spans="1:12" ht="25.5">
      <c r="A215" s="12" t="s">
        <v>415</v>
      </c>
      <c r="B215" s="13" t="s">
        <v>416</v>
      </c>
      <c r="C215" s="81">
        <f t="shared" si="86"/>
        <v>2065988</v>
      </c>
      <c r="D215" s="14">
        <v>1961160</v>
      </c>
      <c r="E215" s="44">
        <v>0</v>
      </c>
      <c r="F215" s="11">
        <v>668</v>
      </c>
      <c r="G215" s="44">
        <v>0</v>
      </c>
      <c r="H215" s="11">
        <v>104160</v>
      </c>
      <c r="I215" s="44">
        <v>0</v>
      </c>
      <c r="J215" s="11">
        <v>0</v>
      </c>
      <c r="K215" s="44">
        <v>0</v>
      </c>
      <c r="L215" s="81">
        <f t="shared" si="88"/>
        <v>2065988</v>
      </c>
    </row>
    <row r="216" spans="1:12" ht="25.5">
      <c r="A216" s="12" t="s">
        <v>417</v>
      </c>
      <c r="B216" s="13" t="s">
        <v>418</v>
      </c>
      <c r="C216" s="81">
        <f t="shared" si="86"/>
        <v>60930</v>
      </c>
      <c r="D216" s="14">
        <v>3070</v>
      </c>
      <c r="E216" s="44">
        <v>0</v>
      </c>
      <c r="F216" s="11">
        <v>0</v>
      </c>
      <c r="G216" s="44">
        <v>0</v>
      </c>
      <c r="H216" s="11">
        <v>57860</v>
      </c>
      <c r="I216" s="44">
        <v>0</v>
      </c>
      <c r="J216" s="11">
        <v>0</v>
      </c>
      <c r="K216" s="44">
        <v>0</v>
      </c>
      <c r="L216" s="81">
        <f t="shared" si="88"/>
        <v>60930</v>
      </c>
    </row>
    <row r="217" spans="1:12" ht="25.5">
      <c r="A217" s="12" t="s">
        <v>419</v>
      </c>
      <c r="B217" s="13" t="s">
        <v>420</v>
      </c>
      <c r="C217" s="81">
        <f t="shared" si="86"/>
        <v>480000</v>
      </c>
      <c r="D217" s="14">
        <v>480000</v>
      </c>
      <c r="E217" s="44">
        <v>0</v>
      </c>
      <c r="F217" s="14">
        <v>0</v>
      </c>
      <c r="G217" s="44">
        <v>0</v>
      </c>
      <c r="H217" s="14">
        <v>0</v>
      </c>
      <c r="I217" s="44">
        <v>0</v>
      </c>
      <c r="J217" s="14">
        <v>0</v>
      </c>
      <c r="K217" s="44">
        <v>0</v>
      </c>
      <c r="L217" s="81">
        <f t="shared" si="88"/>
        <v>480000</v>
      </c>
    </row>
    <row r="218" spans="1:12" ht="38.25" hidden="1">
      <c r="A218" s="151" t="s">
        <v>480</v>
      </c>
      <c r="B218" s="18" t="s">
        <v>481</v>
      </c>
      <c r="C218" s="82">
        <f t="shared" si="86"/>
        <v>0</v>
      </c>
      <c r="D218" s="19">
        <v>0</v>
      </c>
      <c r="E218" s="94">
        <v>0</v>
      </c>
      <c r="F218" s="19">
        <v>0</v>
      </c>
      <c r="G218" s="199">
        <v>0</v>
      </c>
      <c r="H218" s="192">
        <v>0</v>
      </c>
      <c r="I218" s="199">
        <v>0</v>
      </c>
      <c r="J218" s="192">
        <v>0</v>
      </c>
      <c r="K218" s="199">
        <v>0</v>
      </c>
      <c r="L218" s="198">
        <f t="shared" si="88"/>
        <v>0</v>
      </c>
    </row>
    <row r="219" spans="1:12" ht="15">
      <c r="A219" s="38"/>
      <c r="B219" s="92" t="s">
        <v>170</v>
      </c>
      <c r="C219" s="5">
        <f t="shared" si="86"/>
        <v>5044382</v>
      </c>
      <c r="D219" s="5">
        <f>D220+D221+D227</f>
        <v>3901735</v>
      </c>
      <c r="E219" s="196">
        <f aca="true" t="shared" si="89" ref="E219:K219">E220+E221+E227</f>
        <v>92607</v>
      </c>
      <c r="F219" s="191">
        <f t="shared" si="89"/>
        <v>0</v>
      </c>
      <c r="G219" s="196">
        <f t="shared" si="89"/>
        <v>0</v>
      </c>
      <c r="H219" s="191">
        <f t="shared" si="89"/>
        <v>1142647</v>
      </c>
      <c r="I219" s="196">
        <f t="shared" si="89"/>
        <v>157883</v>
      </c>
      <c r="J219" s="191">
        <f t="shared" si="89"/>
        <v>0</v>
      </c>
      <c r="K219" s="196">
        <f t="shared" si="89"/>
        <v>0</v>
      </c>
      <c r="L219" s="191">
        <f t="shared" si="88"/>
        <v>5294872</v>
      </c>
    </row>
    <row r="220" spans="1:12" ht="15">
      <c r="A220" s="6" t="s">
        <v>171</v>
      </c>
      <c r="B220" s="7" t="s">
        <v>172</v>
      </c>
      <c r="C220" s="80">
        <f t="shared" si="86"/>
        <v>4495164</v>
      </c>
      <c r="D220" s="8">
        <v>3352517</v>
      </c>
      <c r="E220" s="44">
        <v>134475</v>
      </c>
      <c r="F220" s="17">
        <v>0</v>
      </c>
      <c r="G220" s="44">
        <v>0</v>
      </c>
      <c r="H220" s="17">
        <v>1142647</v>
      </c>
      <c r="I220" s="44">
        <v>116015</v>
      </c>
      <c r="J220" s="17">
        <v>0</v>
      </c>
      <c r="K220" s="44">
        <v>0</v>
      </c>
      <c r="L220" s="81">
        <f t="shared" si="88"/>
        <v>4745654</v>
      </c>
    </row>
    <row r="221" spans="1:12" ht="25.5">
      <c r="A221" s="6" t="s">
        <v>173</v>
      </c>
      <c r="B221" s="7" t="s">
        <v>174</v>
      </c>
      <c r="C221" s="80">
        <f t="shared" si="86"/>
        <v>389575</v>
      </c>
      <c r="D221" s="8">
        <f>SUM(D222:D226)</f>
        <v>389575</v>
      </c>
      <c r="E221" s="45">
        <f aca="true" t="shared" si="90" ref="E221:K221">SUM(E222:E226)</f>
        <v>0</v>
      </c>
      <c r="F221" s="17">
        <f t="shared" si="90"/>
        <v>0</v>
      </c>
      <c r="G221" s="45">
        <f t="shared" si="90"/>
        <v>0</v>
      </c>
      <c r="H221" s="17">
        <f t="shared" si="90"/>
        <v>0</v>
      </c>
      <c r="I221" s="45">
        <f t="shared" si="90"/>
        <v>0</v>
      </c>
      <c r="J221" s="17">
        <f t="shared" si="90"/>
        <v>0</v>
      </c>
      <c r="K221" s="43">
        <f t="shared" si="90"/>
        <v>0</v>
      </c>
      <c r="L221" s="81">
        <f t="shared" si="88"/>
        <v>389575</v>
      </c>
    </row>
    <row r="222" spans="1:12" ht="25.5" hidden="1">
      <c r="A222" s="93"/>
      <c r="B222" s="18" t="s">
        <v>421</v>
      </c>
      <c r="C222" s="82">
        <f t="shared" si="86"/>
        <v>0</v>
      </c>
      <c r="D222" s="19">
        <v>0</v>
      </c>
      <c r="E222" s="199">
        <v>0</v>
      </c>
      <c r="F222" s="192">
        <v>0</v>
      </c>
      <c r="G222" s="199">
        <v>0</v>
      </c>
      <c r="H222" s="192">
        <v>0</v>
      </c>
      <c r="I222" s="199">
        <v>0</v>
      </c>
      <c r="J222" s="192">
        <v>0</v>
      </c>
      <c r="K222" s="199">
        <v>0</v>
      </c>
      <c r="L222" s="198">
        <f aca="true" t="shared" si="91" ref="L222:L227">SUM(D222:K222)</f>
        <v>0</v>
      </c>
    </row>
    <row r="223" spans="1:12" ht="63.75" hidden="1">
      <c r="A223" s="176"/>
      <c r="B223" s="18" t="s">
        <v>850</v>
      </c>
      <c r="C223" s="82">
        <f t="shared" si="86"/>
        <v>0</v>
      </c>
      <c r="D223" s="19">
        <v>0</v>
      </c>
      <c r="E223" s="199">
        <v>0</v>
      </c>
      <c r="F223" s="192">
        <v>0</v>
      </c>
      <c r="G223" s="199">
        <v>0</v>
      </c>
      <c r="H223" s="192">
        <v>0</v>
      </c>
      <c r="I223" s="199">
        <v>0</v>
      </c>
      <c r="J223" s="192">
        <v>0</v>
      </c>
      <c r="K223" s="199">
        <v>0</v>
      </c>
      <c r="L223" s="198">
        <f t="shared" si="91"/>
        <v>0</v>
      </c>
    </row>
    <row r="224" spans="1:12" ht="15">
      <c r="A224" s="23"/>
      <c r="B224" s="13" t="s">
        <v>176</v>
      </c>
      <c r="C224" s="81">
        <f t="shared" si="86"/>
        <v>389575</v>
      </c>
      <c r="D224" s="14">
        <v>389575</v>
      </c>
      <c r="E224" s="44">
        <v>0</v>
      </c>
      <c r="F224" s="11">
        <v>0</v>
      </c>
      <c r="G224" s="44">
        <v>0</v>
      </c>
      <c r="H224" s="11">
        <v>0</v>
      </c>
      <c r="I224" s="195">
        <v>0</v>
      </c>
      <c r="J224" s="14">
        <v>0</v>
      </c>
      <c r="K224" s="195">
        <v>0</v>
      </c>
      <c r="L224" s="81">
        <f t="shared" si="91"/>
        <v>389575</v>
      </c>
    </row>
    <row r="225" spans="1:12" ht="15" hidden="1">
      <c r="A225" s="93"/>
      <c r="B225" s="18" t="s">
        <v>177</v>
      </c>
      <c r="C225" s="82">
        <f t="shared" si="86"/>
        <v>0</v>
      </c>
      <c r="D225" s="19">
        <v>0</v>
      </c>
      <c r="E225" s="199">
        <v>0</v>
      </c>
      <c r="F225" s="192">
        <v>0</v>
      </c>
      <c r="G225" s="199">
        <v>0</v>
      </c>
      <c r="H225" s="192">
        <v>0</v>
      </c>
      <c r="I225" s="199">
        <v>0</v>
      </c>
      <c r="J225" s="192">
        <v>0</v>
      </c>
      <c r="K225" s="199">
        <v>0</v>
      </c>
      <c r="L225" s="198">
        <f t="shared" si="91"/>
        <v>0</v>
      </c>
    </row>
    <row r="226" spans="1:12" ht="15" hidden="1">
      <c r="A226" s="93"/>
      <c r="B226" s="18" t="s">
        <v>178</v>
      </c>
      <c r="C226" s="82">
        <f t="shared" si="86"/>
        <v>0</v>
      </c>
      <c r="D226" s="19">
        <v>0</v>
      </c>
      <c r="E226" s="199">
        <v>0</v>
      </c>
      <c r="F226" s="192">
        <v>0</v>
      </c>
      <c r="G226" s="199">
        <v>0</v>
      </c>
      <c r="H226" s="192">
        <v>0</v>
      </c>
      <c r="I226" s="199">
        <v>0</v>
      </c>
      <c r="J226" s="192">
        <v>0</v>
      </c>
      <c r="K226" s="199">
        <v>0</v>
      </c>
      <c r="L226" s="198">
        <f t="shared" si="91"/>
        <v>0</v>
      </c>
    </row>
    <row r="227" spans="1:12" ht="25.5">
      <c r="A227" s="6" t="s">
        <v>140</v>
      </c>
      <c r="B227" s="7" t="s">
        <v>179</v>
      </c>
      <c r="C227" s="80">
        <f>D227+F227+H227+J227</f>
        <v>159643</v>
      </c>
      <c r="D227" s="95">
        <v>159643</v>
      </c>
      <c r="E227" s="44">
        <v>-41868</v>
      </c>
      <c r="F227" s="21">
        <v>0</v>
      </c>
      <c r="G227" s="200">
        <v>0</v>
      </c>
      <c r="H227" s="21">
        <v>0</v>
      </c>
      <c r="I227" s="200">
        <v>41868</v>
      </c>
      <c r="J227" s="95">
        <v>0</v>
      </c>
      <c r="K227" s="201">
        <v>0</v>
      </c>
      <c r="L227" s="81">
        <f t="shared" si="91"/>
        <v>159643</v>
      </c>
    </row>
    <row r="228" spans="1:12" ht="15">
      <c r="A228" s="96"/>
      <c r="B228" s="97" t="s">
        <v>422</v>
      </c>
      <c r="C228" s="98">
        <f aca="true" t="shared" si="92" ref="C228:L228">C11+C219</f>
        <v>120086655</v>
      </c>
      <c r="D228" s="98">
        <f t="shared" si="92"/>
        <v>84120458</v>
      </c>
      <c r="E228" s="203">
        <f t="shared" si="92"/>
        <v>198390</v>
      </c>
      <c r="F228" s="202">
        <f t="shared" si="92"/>
        <v>3339769</v>
      </c>
      <c r="G228" s="203">
        <f t="shared" si="92"/>
        <v>-8932</v>
      </c>
      <c r="H228" s="202">
        <f t="shared" si="92"/>
        <v>31555857</v>
      </c>
      <c r="I228" s="203">
        <f>I11+I219</f>
        <v>1484944</v>
      </c>
      <c r="J228" s="202">
        <f t="shared" si="92"/>
        <v>1070571</v>
      </c>
      <c r="K228" s="203">
        <f t="shared" si="92"/>
        <v>0</v>
      </c>
      <c r="L228" s="202">
        <f t="shared" si="92"/>
        <v>121761057</v>
      </c>
    </row>
    <row r="229" spans="1:11" ht="15">
      <c r="A229" s="70"/>
      <c r="B229" s="71"/>
      <c r="C229" s="83"/>
      <c r="D229" s="70"/>
      <c r="E229" s="72"/>
      <c r="F229" s="70"/>
      <c r="G229" s="184"/>
      <c r="H229" s="183"/>
      <c r="I229" s="72"/>
      <c r="J229" s="70"/>
      <c r="K229" s="72"/>
    </row>
    <row r="230" spans="1:12" ht="18.75">
      <c r="A230" s="492" t="s">
        <v>145</v>
      </c>
      <c r="B230" s="492"/>
      <c r="C230" s="84"/>
      <c r="D230" s="53"/>
      <c r="E230" s="61"/>
      <c r="F230" s="53"/>
      <c r="G230" s="62"/>
      <c r="H230" s="53"/>
      <c r="I230" s="62"/>
      <c r="J230" s="53"/>
      <c r="K230" s="493" t="s">
        <v>146</v>
      </c>
      <c r="L230" s="493"/>
    </row>
    <row r="231" spans="1:11" ht="15">
      <c r="A231" s="70"/>
      <c r="B231" s="71"/>
      <c r="D231" s="70"/>
      <c r="E231" s="72"/>
      <c r="F231" s="70"/>
      <c r="G231" s="72"/>
      <c r="H231" s="70"/>
      <c r="I231" s="72"/>
      <c r="J231" s="70"/>
      <c r="K231" s="72"/>
    </row>
    <row r="232" spans="1:11" ht="15">
      <c r="A232" s="70"/>
      <c r="B232" s="71"/>
      <c r="D232" s="70"/>
      <c r="E232" s="76"/>
      <c r="F232" s="70"/>
      <c r="G232" s="72"/>
      <c r="H232" s="70"/>
      <c r="I232" s="72"/>
      <c r="J232" s="70"/>
      <c r="K232" s="72"/>
    </row>
    <row r="233" spans="1:11" ht="15">
      <c r="A233" s="70"/>
      <c r="D233" s="70"/>
      <c r="E233" s="72"/>
      <c r="F233" s="70"/>
      <c r="G233" s="72"/>
      <c r="H233" s="70"/>
      <c r="I233" s="72"/>
      <c r="J233" s="70"/>
      <c r="K233" s="72"/>
    </row>
    <row r="234" spans="1:11" ht="15">
      <c r="A234" s="70"/>
      <c r="D234" s="70"/>
      <c r="E234" s="72"/>
      <c r="F234" s="70"/>
      <c r="G234" s="72"/>
      <c r="H234" s="70"/>
      <c r="I234" s="72"/>
      <c r="J234" s="70"/>
      <c r="K234" s="72"/>
    </row>
    <row r="235" spans="1:11" ht="15">
      <c r="A235" s="70"/>
      <c r="D235" s="70"/>
      <c r="E235" s="72"/>
      <c r="F235" s="70"/>
      <c r="G235" s="72"/>
      <c r="H235" s="70"/>
      <c r="I235" s="72"/>
      <c r="J235" s="70"/>
      <c r="K235" s="72"/>
    </row>
    <row r="236" spans="1:11" ht="15">
      <c r="A236" s="70"/>
      <c r="D236" s="70"/>
      <c r="E236" s="72"/>
      <c r="F236" s="70"/>
      <c r="G236" s="72"/>
      <c r="H236" s="70"/>
      <c r="I236" s="72"/>
      <c r="J236" s="70"/>
      <c r="K236" s="72"/>
    </row>
    <row r="237" spans="1:11" ht="15">
      <c r="A237" s="70"/>
      <c r="D237" s="70"/>
      <c r="E237" s="72"/>
      <c r="F237" s="70"/>
      <c r="G237" s="72"/>
      <c r="H237" s="70"/>
      <c r="I237" s="72"/>
      <c r="J237" s="70"/>
      <c r="K237" s="72"/>
    </row>
    <row r="238" spans="1:11" ht="15">
      <c r="A238" s="70"/>
      <c r="B238" s="71"/>
      <c r="D238" s="70"/>
      <c r="E238" s="72"/>
      <c r="F238" s="70"/>
      <c r="G238" s="72"/>
      <c r="H238" s="70"/>
      <c r="I238" s="72"/>
      <c r="J238" s="70"/>
      <c r="K238" s="72"/>
    </row>
    <row r="239" spans="1:11" ht="15">
      <c r="A239" s="70"/>
      <c r="B239" s="71"/>
      <c r="D239" s="70"/>
      <c r="E239" s="72"/>
      <c r="F239" s="70"/>
      <c r="G239" s="72"/>
      <c r="H239" s="70"/>
      <c r="I239" s="72"/>
      <c r="J239" s="70"/>
      <c r="K239" s="72"/>
    </row>
    <row r="240" spans="1:11" ht="15">
      <c r="A240" s="70"/>
      <c r="B240" s="71"/>
      <c r="D240" s="70"/>
      <c r="E240" s="72"/>
      <c r="F240" s="70"/>
      <c r="G240" s="72"/>
      <c r="H240" s="70"/>
      <c r="I240" s="72"/>
      <c r="J240" s="70"/>
      <c r="K240" s="72"/>
    </row>
    <row r="241" spans="1:11" ht="15">
      <c r="A241" s="70"/>
      <c r="B241" s="71"/>
      <c r="D241" s="70"/>
      <c r="E241" s="72"/>
      <c r="F241" s="70"/>
      <c r="G241" s="72"/>
      <c r="H241" s="70"/>
      <c r="I241" s="72"/>
      <c r="J241" s="70"/>
      <c r="K241" s="72"/>
    </row>
    <row r="242" spans="1:11" ht="15">
      <c r="A242" s="70"/>
      <c r="B242" s="71"/>
      <c r="D242" s="70"/>
      <c r="E242" s="72"/>
      <c r="F242" s="70"/>
      <c r="G242" s="72"/>
      <c r="H242" s="70"/>
      <c r="I242" s="72"/>
      <c r="J242" s="70"/>
      <c r="K242" s="72"/>
    </row>
    <row r="243" spans="1:11" ht="15">
      <c r="A243" s="70"/>
      <c r="B243" s="71"/>
      <c r="D243" s="70"/>
      <c r="E243" s="72"/>
      <c r="F243" s="70"/>
      <c r="G243" s="72"/>
      <c r="H243" s="70"/>
      <c r="I243" s="72"/>
      <c r="J243" s="70"/>
      <c r="K243" s="72"/>
    </row>
    <row r="244" spans="1:11" ht="15">
      <c r="A244" s="70"/>
      <c r="B244" s="71"/>
      <c r="D244" s="70"/>
      <c r="E244" s="72"/>
      <c r="F244" s="70"/>
      <c r="G244" s="72"/>
      <c r="H244" s="70"/>
      <c r="I244" s="72"/>
      <c r="J244" s="70"/>
      <c r="K244" s="72"/>
    </row>
    <row r="245" spans="1:11" ht="15">
      <c r="A245" s="70"/>
      <c r="B245" s="71"/>
      <c r="D245" s="70"/>
      <c r="E245" s="72"/>
      <c r="F245" s="70"/>
      <c r="G245" s="72"/>
      <c r="H245" s="70"/>
      <c r="I245" s="72"/>
      <c r="J245" s="70"/>
      <c r="K245" s="72"/>
    </row>
    <row r="246" spans="1:11" ht="15">
      <c r="A246" s="70"/>
      <c r="B246" s="71"/>
      <c r="D246" s="70"/>
      <c r="E246" s="72"/>
      <c r="F246" s="70"/>
      <c r="G246" s="72"/>
      <c r="H246" s="70"/>
      <c r="I246" s="72"/>
      <c r="J246" s="70"/>
      <c r="K246" s="72"/>
    </row>
    <row r="247" spans="1:11" ht="15">
      <c r="A247" s="70"/>
      <c r="B247" s="71"/>
      <c r="D247" s="70"/>
      <c r="E247" s="72"/>
      <c r="F247" s="70"/>
      <c r="G247" s="72"/>
      <c r="H247" s="70"/>
      <c r="I247" s="72"/>
      <c r="J247" s="70"/>
      <c r="K247" s="72"/>
    </row>
    <row r="248" spans="1:11" ht="15">
      <c r="A248" s="70"/>
      <c r="B248" s="71"/>
      <c r="D248" s="70"/>
      <c r="E248" s="72"/>
      <c r="F248" s="70"/>
      <c r="G248" s="72"/>
      <c r="H248" s="70"/>
      <c r="I248" s="72"/>
      <c r="J248" s="70"/>
      <c r="K248" s="72"/>
    </row>
    <row r="249" spans="1:11" ht="15">
      <c r="A249" s="70"/>
      <c r="B249" s="71"/>
      <c r="D249" s="70"/>
      <c r="E249" s="72"/>
      <c r="F249" s="70"/>
      <c r="G249" s="72"/>
      <c r="H249" s="70"/>
      <c r="I249" s="72"/>
      <c r="J249" s="70"/>
      <c r="K249" s="72"/>
    </row>
    <row r="250" spans="1:11" ht="15">
      <c r="A250" s="70"/>
      <c r="B250" s="71"/>
      <c r="D250" s="70"/>
      <c r="E250" s="72"/>
      <c r="F250" s="70"/>
      <c r="G250" s="72"/>
      <c r="H250" s="70"/>
      <c r="I250" s="72"/>
      <c r="J250" s="70"/>
      <c r="K250" s="72"/>
    </row>
    <row r="251" spans="1:11" ht="15">
      <c r="A251" s="70"/>
      <c r="B251" s="71"/>
      <c r="D251" s="70"/>
      <c r="E251" s="72"/>
      <c r="F251" s="70"/>
      <c r="G251" s="72"/>
      <c r="H251" s="70"/>
      <c r="I251" s="72"/>
      <c r="J251" s="70"/>
      <c r="K251" s="72"/>
    </row>
    <row r="252" spans="1:11" ht="15">
      <c r="A252" s="70"/>
      <c r="B252" s="71"/>
      <c r="D252" s="70"/>
      <c r="E252" s="72"/>
      <c r="F252" s="70"/>
      <c r="G252" s="72"/>
      <c r="H252" s="70"/>
      <c r="I252" s="72"/>
      <c r="J252" s="70"/>
      <c r="K252" s="72"/>
    </row>
    <row r="253" spans="1:11" ht="15">
      <c r="A253" s="70"/>
      <c r="B253" s="71"/>
      <c r="D253" s="70"/>
      <c r="E253" s="72"/>
      <c r="F253" s="70"/>
      <c r="G253" s="72"/>
      <c r="H253" s="70"/>
      <c r="I253" s="72"/>
      <c r="J253" s="70"/>
      <c r="K253" s="72"/>
    </row>
    <row r="254" spans="1:11" ht="15">
      <c r="A254" s="70"/>
      <c r="B254" s="71"/>
      <c r="D254" s="70"/>
      <c r="E254" s="72"/>
      <c r="F254" s="70"/>
      <c r="G254" s="72"/>
      <c r="H254" s="70"/>
      <c r="I254" s="72"/>
      <c r="J254" s="70"/>
      <c r="K254" s="72"/>
    </row>
    <row r="255" spans="1:11" ht="15">
      <c r="A255" s="70"/>
      <c r="B255" s="71"/>
      <c r="D255" s="70"/>
      <c r="E255" s="72"/>
      <c r="F255" s="70"/>
      <c r="G255" s="72"/>
      <c r="H255" s="70"/>
      <c r="I255" s="72"/>
      <c r="J255" s="70"/>
      <c r="K255" s="72"/>
    </row>
    <row r="256" spans="1:11" ht="15">
      <c r="A256" s="70"/>
      <c r="B256" s="71"/>
      <c r="D256" s="70"/>
      <c r="E256" s="72"/>
      <c r="F256" s="70"/>
      <c r="G256" s="72"/>
      <c r="H256" s="70"/>
      <c r="I256" s="72"/>
      <c r="J256" s="70"/>
      <c r="K256" s="72"/>
    </row>
    <row r="257" spans="1:11" ht="15">
      <c r="A257" s="70"/>
      <c r="B257" s="71"/>
      <c r="D257" s="70"/>
      <c r="E257" s="72"/>
      <c r="F257" s="70"/>
      <c r="G257" s="72"/>
      <c r="H257" s="70"/>
      <c r="I257" s="72"/>
      <c r="J257" s="70"/>
      <c r="K257" s="72"/>
    </row>
    <row r="258" spans="1:11" ht="15">
      <c r="A258" s="70"/>
      <c r="B258" s="71"/>
      <c r="D258" s="70"/>
      <c r="E258" s="72"/>
      <c r="F258" s="70"/>
      <c r="G258" s="72"/>
      <c r="H258" s="70"/>
      <c r="I258" s="72"/>
      <c r="J258" s="70"/>
      <c r="K258" s="72"/>
    </row>
    <row r="259" spans="1:11" ht="15">
      <c r="A259" s="70"/>
      <c r="B259" s="71"/>
      <c r="D259" s="70"/>
      <c r="E259" s="72"/>
      <c r="F259" s="70"/>
      <c r="G259" s="72"/>
      <c r="H259" s="70"/>
      <c r="I259" s="72"/>
      <c r="J259" s="70"/>
      <c r="K259" s="72"/>
    </row>
    <row r="260" spans="1:11" ht="15">
      <c r="A260" s="70"/>
      <c r="B260" s="71"/>
      <c r="D260" s="70"/>
      <c r="E260" s="72"/>
      <c r="F260" s="70"/>
      <c r="G260" s="72"/>
      <c r="H260" s="70"/>
      <c r="I260" s="72"/>
      <c r="J260" s="70"/>
      <c r="K260" s="72"/>
    </row>
  </sheetData>
  <sheetProtection/>
  <mergeCells count="10">
    <mergeCell ref="H2:K2"/>
    <mergeCell ref="L8:L9"/>
    <mergeCell ref="D8:K8"/>
    <mergeCell ref="A230:B230"/>
    <mergeCell ref="K230:L230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J753"/>
  <sheetViews>
    <sheetView showGridLines="0" zoomScaleSheetLayoutView="70" workbookViewId="0" topLeftCell="A1">
      <selection activeCell="L5" sqref="L5"/>
    </sheetView>
  </sheetViews>
  <sheetFormatPr defaultColWidth="9.140625" defaultRowHeight="15"/>
  <cols>
    <col min="1" max="1" width="5.140625" style="136" customWidth="1"/>
    <col min="2" max="2" width="33.00390625" style="136" customWidth="1"/>
    <col min="3" max="3" width="8.00390625" style="136" customWidth="1"/>
    <col min="4" max="4" width="3.57421875" style="136" customWidth="1"/>
    <col min="5" max="5" width="15.57421875" style="136" customWidth="1"/>
    <col min="6" max="6" width="4.421875" style="136" customWidth="1"/>
    <col min="7" max="7" width="2.421875" style="136" customWidth="1"/>
    <col min="8" max="8" width="6.8515625" style="136" customWidth="1"/>
    <col min="9" max="9" width="1.7109375" style="136" customWidth="1"/>
    <col min="10" max="10" width="16.421875" style="136" customWidth="1"/>
    <col min="11" max="16384" width="9.140625" style="136" customWidth="1"/>
  </cols>
  <sheetData>
    <row r="1" ht="14.25" customHeight="1"/>
    <row r="2" spans="7:10" ht="15.75" customHeight="1">
      <c r="G2" s="518" t="s">
        <v>845</v>
      </c>
      <c r="H2" s="499"/>
      <c r="I2" s="499"/>
      <c r="J2" s="499"/>
    </row>
    <row r="3" spans="3:10" ht="15.75" customHeight="1">
      <c r="C3" s="518" t="s">
        <v>1087</v>
      </c>
      <c r="D3" s="499"/>
      <c r="E3" s="499"/>
      <c r="F3" s="499"/>
      <c r="G3" s="499"/>
      <c r="H3" s="499"/>
      <c r="I3" s="499"/>
      <c r="J3" s="499"/>
    </row>
    <row r="4" spans="4:10" ht="15.75" customHeight="1">
      <c r="D4" s="518" t="s">
        <v>1090</v>
      </c>
      <c r="E4" s="499"/>
      <c r="F4" s="499"/>
      <c r="G4" s="499"/>
      <c r="H4" s="499"/>
      <c r="I4" s="499"/>
      <c r="J4" s="499"/>
    </row>
    <row r="6" spans="1:10" ht="57" customHeight="1">
      <c r="A6" s="519" t="s">
        <v>1079</v>
      </c>
      <c r="B6" s="520"/>
      <c r="C6" s="520"/>
      <c r="D6" s="520"/>
      <c r="E6" s="520"/>
      <c r="F6" s="520"/>
      <c r="G6" s="520"/>
      <c r="H6" s="520"/>
      <c r="I6" s="520"/>
      <c r="J6" s="520"/>
    </row>
    <row r="7" spans="1:10" ht="30" customHeight="1">
      <c r="A7" s="521" t="s">
        <v>844</v>
      </c>
      <c r="B7" s="522"/>
      <c r="C7" s="522"/>
      <c r="D7" s="523"/>
      <c r="E7" s="141" t="s">
        <v>1080</v>
      </c>
      <c r="F7" s="524" t="s">
        <v>1078</v>
      </c>
      <c r="G7" s="525"/>
      <c r="H7" s="526"/>
      <c r="I7" s="524" t="s">
        <v>1081</v>
      </c>
      <c r="J7" s="526"/>
    </row>
    <row r="8" spans="1:10" s="168" customFormat="1" ht="9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 s="168" customFormat="1" ht="19.5" customHeight="1">
      <c r="A9" s="509" t="s">
        <v>1077</v>
      </c>
      <c r="B9" s="502"/>
      <c r="C9" s="502"/>
      <c r="D9" s="502"/>
      <c r="E9" s="502"/>
      <c r="F9" s="502"/>
      <c r="G9" s="502"/>
      <c r="H9" s="502"/>
      <c r="I9" s="502"/>
      <c r="J9" s="502"/>
    </row>
    <row r="10" spans="1:10" s="168" customFormat="1" ht="15" customHeight="1">
      <c r="A10" s="166"/>
      <c r="B10" s="505" t="s">
        <v>779</v>
      </c>
      <c r="C10" s="502"/>
      <c r="D10" s="502"/>
      <c r="E10" s="167">
        <v>12519290</v>
      </c>
      <c r="F10" s="507">
        <v>61091</v>
      </c>
      <c r="G10" s="499"/>
      <c r="H10" s="499"/>
      <c r="I10" s="166"/>
      <c r="J10" s="167">
        <v>12580381</v>
      </c>
    </row>
    <row r="11" spans="1:10" s="168" customFormat="1" ht="15" customHeight="1">
      <c r="A11" s="166"/>
      <c r="B11" s="505" t="s">
        <v>778</v>
      </c>
      <c r="C11" s="502"/>
      <c r="D11" s="502"/>
      <c r="E11" s="167">
        <v>4199653</v>
      </c>
      <c r="F11" s="507">
        <v>88951</v>
      </c>
      <c r="G11" s="499"/>
      <c r="H11" s="499"/>
      <c r="I11" s="166"/>
      <c r="J11" s="167">
        <v>4288604</v>
      </c>
    </row>
    <row r="12" spans="1:10" s="168" customFormat="1" ht="15" customHeight="1">
      <c r="A12" s="166"/>
      <c r="B12" s="505" t="s">
        <v>777</v>
      </c>
      <c r="C12" s="502"/>
      <c r="D12" s="502"/>
      <c r="E12" s="167">
        <v>1672837</v>
      </c>
      <c r="F12" s="507">
        <v>20262</v>
      </c>
      <c r="G12" s="499"/>
      <c r="H12" s="499"/>
      <c r="I12" s="166"/>
      <c r="J12" s="167">
        <v>1693099</v>
      </c>
    </row>
    <row r="13" spans="1:10" s="168" customFormat="1" ht="14.25" customHeight="1">
      <c r="A13" s="166"/>
      <c r="B13" s="505" t="s">
        <v>776</v>
      </c>
      <c r="C13" s="502"/>
      <c r="D13" s="502"/>
      <c r="E13" s="167">
        <v>49540</v>
      </c>
      <c r="F13" s="507">
        <v>0</v>
      </c>
      <c r="G13" s="507"/>
      <c r="H13" s="507"/>
      <c r="I13" s="166"/>
      <c r="J13" s="167">
        <v>49540</v>
      </c>
    </row>
    <row r="14" spans="1:10" s="168" customFormat="1" ht="15" customHeight="1">
      <c r="A14" s="166"/>
      <c r="B14" s="505" t="s">
        <v>774</v>
      </c>
      <c r="C14" s="502"/>
      <c r="D14" s="502"/>
      <c r="E14" s="167">
        <v>6333573</v>
      </c>
      <c r="F14" s="507">
        <v>-71682</v>
      </c>
      <c r="G14" s="499"/>
      <c r="H14" s="499"/>
      <c r="I14" s="166"/>
      <c r="J14" s="167">
        <v>6261891</v>
      </c>
    </row>
    <row r="15" spans="1:10" s="168" customFormat="1" ht="14.25" customHeight="1">
      <c r="A15" s="166"/>
      <c r="B15" s="505" t="s">
        <v>773</v>
      </c>
      <c r="C15" s="502"/>
      <c r="D15" s="502"/>
      <c r="E15" s="167">
        <v>47800</v>
      </c>
      <c r="F15" s="507">
        <v>0</v>
      </c>
      <c r="G15" s="507"/>
      <c r="H15" s="507"/>
      <c r="I15" s="166"/>
      <c r="J15" s="167">
        <v>47800</v>
      </c>
    </row>
    <row r="16" spans="1:10" s="168" customFormat="1" ht="28.5" customHeight="1">
      <c r="A16" s="166"/>
      <c r="B16" s="505" t="s">
        <v>772</v>
      </c>
      <c r="C16" s="502"/>
      <c r="D16" s="502"/>
      <c r="E16" s="167">
        <v>215887</v>
      </c>
      <c r="F16" s="507">
        <v>0</v>
      </c>
      <c r="G16" s="507"/>
      <c r="H16" s="507"/>
      <c r="I16" s="166"/>
      <c r="J16" s="167">
        <v>215887</v>
      </c>
    </row>
    <row r="17" spans="1:10" s="168" customFormat="1" ht="15" customHeight="1">
      <c r="A17" s="166"/>
      <c r="B17" s="505" t="s">
        <v>1012</v>
      </c>
      <c r="C17" s="502"/>
      <c r="D17" s="502"/>
      <c r="E17" s="167">
        <v>0</v>
      </c>
      <c r="F17" s="507">
        <v>23560</v>
      </c>
      <c r="G17" s="499"/>
      <c r="H17" s="499"/>
      <c r="I17" s="166"/>
      <c r="J17" s="167">
        <v>23560</v>
      </c>
    </row>
    <row r="18" spans="1:10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9.5" customHeight="1">
      <c r="A19" s="504" t="s">
        <v>843</v>
      </c>
      <c r="B19" s="502"/>
      <c r="C19" s="502"/>
      <c r="D19" s="502"/>
      <c r="E19" s="502"/>
      <c r="F19" s="502"/>
      <c r="G19" s="502"/>
      <c r="H19" s="502"/>
      <c r="I19" s="502"/>
      <c r="J19" s="502"/>
    </row>
    <row r="20" spans="2:10" s="168" customFormat="1" ht="15" customHeight="1">
      <c r="B20" s="495" t="s">
        <v>779</v>
      </c>
      <c r="C20" s="496"/>
      <c r="D20" s="496"/>
      <c r="E20" s="169">
        <v>5173634</v>
      </c>
      <c r="F20" s="497">
        <v>0</v>
      </c>
      <c r="G20" s="497"/>
      <c r="H20" s="497"/>
      <c r="J20" s="169">
        <v>5173634</v>
      </c>
    </row>
    <row r="21" spans="2:10" ht="15" customHeight="1">
      <c r="B21" s="501" t="s">
        <v>778</v>
      </c>
      <c r="C21" s="502"/>
      <c r="D21" s="502"/>
      <c r="E21" s="164">
        <v>4123457</v>
      </c>
      <c r="F21" s="503">
        <v>0</v>
      </c>
      <c r="G21" s="503"/>
      <c r="H21" s="503"/>
      <c r="J21" s="164">
        <v>4123457</v>
      </c>
    </row>
    <row r="22" spans="2:10" ht="15" customHeight="1">
      <c r="B22" s="501" t="s">
        <v>777</v>
      </c>
      <c r="C22" s="502"/>
      <c r="D22" s="502"/>
      <c r="E22" s="164">
        <v>1007726</v>
      </c>
      <c r="F22" s="503">
        <v>0</v>
      </c>
      <c r="G22" s="503"/>
      <c r="H22" s="503"/>
      <c r="J22" s="164">
        <v>1007726</v>
      </c>
    </row>
    <row r="23" spans="2:10" ht="15" customHeight="1">
      <c r="B23" s="501" t="s">
        <v>774</v>
      </c>
      <c r="C23" s="502"/>
      <c r="D23" s="502"/>
      <c r="E23" s="164">
        <v>38151</v>
      </c>
      <c r="F23" s="503">
        <v>0</v>
      </c>
      <c r="G23" s="503"/>
      <c r="H23" s="503"/>
      <c r="J23" s="164">
        <v>38151</v>
      </c>
    </row>
    <row r="24" spans="2:10" ht="15" customHeight="1">
      <c r="B24" s="501" t="s">
        <v>773</v>
      </c>
      <c r="C24" s="502"/>
      <c r="D24" s="502"/>
      <c r="E24" s="164">
        <v>4300</v>
      </c>
      <c r="F24" s="503">
        <v>0</v>
      </c>
      <c r="G24" s="503"/>
      <c r="H24" s="503"/>
      <c r="J24" s="164">
        <v>4300</v>
      </c>
    </row>
    <row r="25" ht="9" customHeight="1"/>
    <row r="26" spans="1:10" ht="31.5" customHeight="1">
      <c r="A26" s="504" t="s">
        <v>1076</v>
      </c>
      <c r="B26" s="502"/>
      <c r="C26" s="502"/>
      <c r="D26" s="502"/>
      <c r="E26" s="502"/>
      <c r="F26" s="502"/>
      <c r="G26" s="502"/>
      <c r="H26" s="502"/>
      <c r="I26" s="502"/>
      <c r="J26" s="502"/>
    </row>
    <row r="27" spans="2:10" s="168" customFormat="1" ht="15" customHeight="1">
      <c r="B27" s="495" t="s">
        <v>779</v>
      </c>
      <c r="C27" s="496"/>
      <c r="D27" s="496"/>
      <c r="E27" s="169">
        <v>8482</v>
      </c>
      <c r="F27" s="497">
        <v>0</v>
      </c>
      <c r="G27" s="497"/>
      <c r="H27" s="497"/>
      <c r="J27" s="169">
        <v>8482</v>
      </c>
    </row>
    <row r="28" spans="2:10" ht="15" customHeight="1">
      <c r="B28" s="501" t="s">
        <v>777</v>
      </c>
      <c r="C28" s="502"/>
      <c r="D28" s="502"/>
      <c r="E28" s="164">
        <v>8482</v>
      </c>
      <c r="F28" s="503">
        <v>0</v>
      </c>
      <c r="G28" s="503"/>
      <c r="H28" s="503"/>
      <c r="J28" s="164">
        <v>8482</v>
      </c>
    </row>
    <row r="29" ht="9" customHeight="1"/>
    <row r="30" spans="1:10" ht="19.5" customHeight="1">
      <c r="A30" s="504" t="s">
        <v>1075</v>
      </c>
      <c r="B30" s="502"/>
      <c r="C30" s="502"/>
      <c r="D30" s="502"/>
      <c r="E30" s="502"/>
      <c r="F30" s="502"/>
      <c r="G30" s="502"/>
      <c r="H30" s="502"/>
      <c r="I30" s="502"/>
      <c r="J30" s="502"/>
    </row>
    <row r="31" spans="2:10" s="168" customFormat="1" ht="15" customHeight="1">
      <c r="B31" s="495" t="s">
        <v>779</v>
      </c>
      <c r="C31" s="496"/>
      <c r="D31" s="496"/>
      <c r="E31" s="169">
        <v>600866</v>
      </c>
      <c r="F31" s="497">
        <v>0</v>
      </c>
      <c r="G31" s="497"/>
      <c r="H31" s="497"/>
      <c r="J31" s="169">
        <v>600866</v>
      </c>
    </row>
    <row r="32" spans="2:10" ht="15" customHeight="1">
      <c r="B32" s="501" t="s">
        <v>774</v>
      </c>
      <c r="C32" s="502"/>
      <c r="D32" s="502"/>
      <c r="E32" s="164">
        <v>600866</v>
      </c>
      <c r="F32" s="503">
        <v>0</v>
      </c>
      <c r="G32" s="503"/>
      <c r="H32" s="503"/>
      <c r="J32" s="164">
        <v>600866</v>
      </c>
    </row>
    <row r="33" ht="9" customHeight="1"/>
    <row r="34" spans="1:10" ht="19.5" customHeight="1">
      <c r="A34" s="504" t="s">
        <v>911</v>
      </c>
      <c r="B34" s="502"/>
      <c r="C34" s="502"/>
      <c r="D34" s="502"/>
      <c r="E34" s="502"/>
      <c r="F34" s="502"/>
      <c r="G34" s="502"/>
      <c r="H34" s="502"/>
      <c r="I34" s="502"/>
      <c r="J34" s="502"/>
    </row>
    <row r="35" spans="2:10" s="168" customFormat="1" ht="15" customHeight="1">
      <c r="B35" s="495" t="s">
        <v>779</v>
      </c>
      <c r="C35" s="496"/>
      <c r="D35" s="496"/>
      <c r="E35" s="169">
        <v>0</v>
      </c>
      <c r="F35" s="497">
        <v>93744</v>
      </c>
      <c r="G35" s="500"/>
      <c r="H35" s="500"/>
      <c r="J35" s="169">
        <v>93744</v>
      </c>
    </row>
    <row r="36" spans="2:10" ht="15" customHeight="1">
      <c r="B36" s="501" t="s">
        <v>778</v>
      </c>
      <c r="C36" s="502"/>
      <c r="D36" s="502"/>
      <c r="E36" s="164">
        <v>0</v>
      </c>
      <c r="F36" s="503">
        <v>88951</v>
      </c>
      <c r="G36" s="499"/>
      <c r="H36" s="499"/>
      <c r="J36" s="164">
        <v>88951</v>
      </c>
    </row>
    <row r="37" spans="2:10" ht="15" customHeight="1">
      <c r="B37" s="501" t="s">
        <v>777</v>
      </c>
      <c r="C37" s="502"/>
      <c r="D37" s="502"/>
      <c r="E37" s="164">
        <v>0</v>
      </c>
      <c r="F37" s="503">
        <v>4793</v>
      </c>
      <c r="G37" s="499"/>
      <c r="H37" s="499"/>
      <c r="J37" s="164">
        <v>4793</v>
      </c>
    </row>
    <row r="38" ht="9" customHeight="1"/>
    <row r="39" spans="1:10" ht="31.5" customHeight="1">
      <c r="A39" s="504" t="s">
        <v>842</v>
      </c>
      <c r="B39" s="502"/>
      <c r="C39" s="502"/>
      <c r="D39" s="502"/>
      <c r="E39" s="502"/>
      <c r="F39" s="502"/>
      <c r="G39" s="502"/>
      <c r="H39" s="502"/>
      <c r="I39" s="502"/>
      <c r="J39" s="502"/>
    </row>
    <row r="40" spans="2:10" s="168" customFormat="1" ht="15" customHeight="1">
      <c r="B40" s="495" t="s">
        <v>779</v>
      </c>
      <c r="C40" s="496"/>
      <c r="D40" s="496"/>
      <c r="E40" s="169">
        <v>282607</v>
      </c>
      <c r="F40" s="497">
        <v>23560</v>
      </c>
      <c r="G40" s="500"/>
      <c r="H40" s="500"/>
      <c r="J40" s="169">
        <v>306167</v>
      </c>
    </row>
    <row r="41" spans="2:10" ht="15" customHeight="1">
      <c r="B41" s="501" t="s">
        <v>774</v>
      </c>
      <c r="C41" s="502"/>
      <c r="D41" s="502"/>
      <c r="E41" s="164">
        <v>282607</v>
      </c>
      <c r="F41" s="503">
        <v>0</v>
      </c>
      <c r="G41" s="503"/>
      <c r="H41" s="503"/>
      <c r="J41" s="164">
        <v>282607</v>
      </c>
    </row>
    <row r="42" spans="2:10" ht="15" customHeight="1">
      <c r="B42" s="501" t="s">
        <v>1012</v>
      </c>
      <c r="C42" s="502"/>
      <c r="D42" s="502"/>
      <c r="E42" s="164">
        <v>0</v>
      </c>
      <c r="F42" s="503">
        <v>23560</v>
      </c>
      <c r="G42" s="499"/>
      <c r="H42" s="499"/>
      <c r="J42" s="164">
        <v>23560</v>
      </c>
    </row>
    <row r="43" ht="9" customHeight="1"/>
    <row r="44" spans="1:10" ht="31.5" customHeight="1">
      <c r="A44" s="504" t="s">
        <v>1074</v>
      </c>
      <c r="B44" s="502"/>
      <c r="C44" s="502"/>
      <c r="D44" s="502"/>
      <c r="E44" s="502"/>
      <c r="F44" s="502"/>
      <c r="G44" s="502"/>
      <c r="H44" s="502"/>
      <c r="I44" s="502"/>
      <c r="J44" s="502"/>
    </row>
    <row r="45" spans="2:10" s="168" customFormat="1" ht="15" customHeight="1">
      <c r="B45" s="495" t="s">
        <v>779</v>
      </c>
      <c r="C45" s="496"/>
      <c r="D45" s="496"/>
      <c r="E45" s="169">
        <v>215887</v>
      </c>
      <c r="F45" s="497">
        <v>0</v>
      </c>
      <c r="G45" s="497"/>
      <c r="H45" s="497"/>
      <c r="J45" s="169">
        <v>215887</v>
      </c>
    </row>
    <row r="46" spans="2:10" ht="30" customHeight="1">
      <c r="B46" s="501" t="s">
        <v>772</v>
      </c>
      <c r="C46" s="502"/>
      <c r="D46" s="502"/>
      <c r="E46" s="164">
        <v>215887</v>
      </c>
      <c r="F46" s="503">
        <v>0</v>
      </c>
      <c r="G46" s="503"/>
      <c r="H46" s="503"/>
      <c r="J46" s="164">
        <v>215887</v>
      </c>
    </row>
    <row r="47" ht="9" customHeight="1"/>
    <row r="48" spans="1:10" ht="19.5" customHeight="1">
      <c r="A48" s="504" t="s">
        <v>1073</v>
      </c>
      <c r="B48" s="502"/>
      <c r="C48" s="502"/>
      <c r="D48" s="502"/>
      <c r="E48" s="502"/>
      <c r="F48" s="502"/>
      <c r="G48" s="502"/>
      <c r="H48" s="502"/>
      <c r="I48" s="502"/>
      <c r="J48" s="502"/>
    </row>
    <row r="49" spans="2:10" s="168" customFormat="1" ht="15" customHeight="1">
      <c r="B49" s="495" t="s">
        <v>779</v>
      </c>
      <c r="C49" s="496"/>
      <c r="D49" s="496"/>
      <c r="E49" s="169">
        <v>3903611</v>
      </c>
      <c r="F49" s="497">
        <v>0</v>
      </c>
      <c r="G49" s="497"/>
      <c r="H49" s="497"/>
      <c r="J49" s="169">
        <v>3903611</v>
      </c>
    </row>
    <row r="50" spans="2:10" ht="15" customHeight="1">
      <c r="B50" s="501" t="s">
        <v>774</v>
      </c>
      <c r="C50" s="502"/>
      <c r="D50" s="502"/>
      <c r="E50" s="164">
        <v>3903611</v>
      </c>
      <c r="F50" s="503">
        <v>0</v>
      </c>
      <c r="G50" s="503"/>
      <c r="H50" s="503"/>
      <c r="J50" s="164">
        <v>3903611</v>
      </c>
    </row>
    <row r="51" ht="9" customHeight="1"/>
    <row r="52" spans="1:10" ht="19.5" customHeight="1">
      <c r="A52" s="504" t="s">
        <v>841</v>
      </c>
      <c r="B52" s="502"/>
      <c r="C52" s="502"/>
      <c r="D52" s="502"/>
      <c r="E52" s="502"/>
      <c r="F52" s="502"/>
      <c r="G52" s="502"/>
      <c r="H52" s="502"/>
      <c r="I52" s="502"/>
      <c r="J52" s="502"/>
    </row>
    <row r="53" spans="2:10" s="168" customFormat="1" ht="15" customHeight="1">
      <c r="B53" s="495" t="s">
        <v>779</v>
      </c>
      <c r="C53" s="496"/>
      <c r="D53" s="496"/>
      <c r="E53" s="169">
        <v>78715</v>
      </c>
      <c r="F53" s="497">
        <v>0</v>
      </c>
      <c r="G53" s="497"/>
      <c r="H53" s="497"/>
      <c r="J53" s="169">
        <v>78715</v>
      </c>
    </row>
    <row r="54" spans="2:10" ht="15" customHeight="1">
      <c r="B54" s="501" t="s">
        <v>777</v>
      </c>
      <c r="C54" s="502"/>
      <c r="D54" s="502"/>
      <c r="E54" s="164">
        <v>44115</v>
      </c>
      <c r="F54" s="503">
        <v>0</v>
      </c>
      <c r="G54" s="503"/>
      <c r="H54" s="503"/>
      <c r="J54" s="164">
        <v>44115</v>
      </c>
    </row>
    <row r="55" spans="2:10" ht="15" customHeight="1">
      <c r="B55" s="501" t="s">
        <v>774</v>
      </c>
      <c r="C55" s="502"/>
      <c r="D55" s="502"/>
      <c r="E55" s="164">
        <v>34600</v>
      </c>
      <c r="F55" s="503">
        <v>0</v>
      </c>
      <c r="G55" s="503"/>
      <c r="H55" s="503"/>
      <c r="J55" s="164">
        <v>34600</v>
      </c>
    </row>
    <row r="56" ht="9" customHeight="1"/>
    <row r="57" spans="1:10" ht="31.5" customHeight="1">
      <c r="A57" s="504" t="s">
        <v>1072</v>
      </c>
      <c r="B57" s="502"/>
      <c r="C57" s="502"/>
      <c r="D57" s="502"/>
      <c r="E57" s="502"/>
      <c r="F57" s="502"/>
      <c r="G57" s="502"/>
      <c r="H57" s="502"/>
      <c r="I57" s="502"/>
      <c r="J57" s="502"/>
    </row>
    <row r="58" spans="2:10" s="168" customFormat="1" ht="15" customHeight="1">
      <c r="B58" s="495" t="s">
        <v>779</v>
      </c>
      <c r="C58" s="496"/>
      <c r="D58" s="496"/>
      <c r="E58" s="169">
        <v>68851</v>
      </c>
      <c r="F58" s="497">
        <v>0</v>
      </c>
      <c r="G58" s="497"/>
      <c r="H58" s="497"/>
      <c r="J58" s="169">
        <v>68851</v>
      </c>
    </row>
    <row r="59" spans="2:10" ht="15" customHeight="1">
      <c r="B59" s="501" t="s">
        <v>778</v>
      </c>
      <c r="C59" s="502"/>
      <c r="D59" s="502"/>
      <c r="E59" s="164">
        <v>46431</v>
      </c>
      <c r="F59" s="503">
        <v>0</v>
      </c>
      <c r="G59" s="503"/>
      <c r="H59" s="503"/>
      <c r="J59" s="164">
        <v>46431</v>
      </c>
    </row>
    <row r="60" spans="2:10" ht="15" customHeight="1">
      <c r="B60" s="501" t="s">
        <v>777</v>
      </c>
      <c r="C60" s="502"/>
      <c r="D60" s="502"/>
      <c r="E60" s="164">
        <v>9880</v>
      </c>
      <c r="F60" s="503">
        <v>0</v>
      </c>
      <c r="G60" s="503"/>
      <c r="H60" s="503"/>
      <c r="J60" s="164">
        <v>9880</v>
      </c>
    </row>
    <row r="61" spans="2:10" ht="15" customHeight="1">
      <c r="B61" s="501" t="s">
        <v>776</v>
      </c>
      <c r="C61" s="502"/>
      <c r="D61" s="502"/>
      <c r="E61" s="164">
        <v>12540</v>
      </c>
      <c r="F61" s="503">
        <v>0</v>
      </c>
      <c r="G61" s="503"/>
      <c r="H61" s="503"/>
      <c r="J61" s="164">
        <v>12540</v>
      </c>
    </row>
    <row r="62" ht="9" customHeight="1"/>
    <row r="63" spans="1:10" ht="31.5" customHeight="1">
      <c r="A63" s="504" t="s">
        <v>1071</v>
      </c>
      <c r="B63" s="502"/>
      <c r="C63" s="502"/>
      <c r="D63" s="502"/>
      <c r="E63" s="502"/>
      <c r="F63" s="502"/>
      <c r="G63" s="502"/>
      <c r="H63" s="502"/>
      <c r="I63" s="502"/>
      <c r="J63" s="502"/>
    </row>
    <row r="64" spans="2:10" s="168" customFormat="1" ht="15" customHeight="1">
      <c r="B64" s="495" t="s">
        <v>779</v>
      </c>
      <c r="C64" s="496"/>
      <c r="D64" s="496"/>
      <c r="E64" s="169">
        <v>43400</v>
      </c>
      <c r="F64" s="497">
        <v>0</v>
      </c>
      <c r="G64" s="497"/>
      <c r="H64" s="497"/>
      <c r="J64" s="169">
        <v>43400</v>
      </c>
    </row>
    <row r="65" spans="2:10" ht="15" customHeight="1">
      <c r="B65" s="501" t="s">
        <v>774</v>
      </c>
      <c r="C65" s="502"/>
      <c r="D65" s="502"/>
      <c r="E65" s="164">
        <v>43400</v>
      </c>
      <c r="F65" s="503">
        <v>0</v>
      </c>
      <c r="G65" s="503"/>
      <c r="H65" s="503"/>
      <c r="J65" s="164">
        <v>43400</v>
      </c>
    </row>
    <row r="66" ht="9" customHeight="1"/>
    <row r="67" spans="1:10" ht="19.5" customHeight="1">
      <c r="A67" s="504" t="s">
        <v>840</v>
      </c>
      <c r="B67" s="502"/>
      <c r="C67" s="502"/>
      <c r="D67" s="502"/>
      <c r="E67" s="502"/>
      <c r="F67" s="502"/>
      <c r="G67" s="502"/>
      <c r="H67" s="502"/>
      <c r="I67" s="502"/>
      <c r="J67" s="502"/>
    </row>
    <row r="68" spans="2:10" s="168" customFormat="1" ht="15" customHeight="1">
      <c r="B68" s="495" t="s">
        <v>779</v>
      </c>
      <c r="C68" s="496"/>
      <c r="D68" s="496"/>
      <c r="E68" s="169">
        <v>562383</v>
      </c>
      <c r="F68" s="497">
        <v>-51513</v>
      </c>
      <c r="G68" s="500"/>
      <c r="H68" s="500"/>
      <c r="J68" s="169">
        <v>510870</v>
      </c>
    </row>
    <row r="69" spans="2:10" ht="15" customHeight="1">
      <c r="B69" s="501" t="s">
        <v>777</v>
      </c>
      <c r="C69" s="502"/>
      <c r="D69" s="502"/>
      <c r="E69" s="164">
        <v>23700</v>
      </c>
      <c r="F69" s="503">
        <v>0</v>
      </c>
      <c r="G69" s="503"/>
      <c r="H69" s="503"/>
      <c r="J69" s="164">
        <v>23700</v>
      </c>
    </row>
    <row r="70" spans="2:10" ht="15" customHeight="1">
      <c r="B70" s="501" t="s">
        <v>774</v>
      </c>
      <c r="C70" s="502"/>
      <c r="D70" s="502"/>
      <c r="E70" s="164">
        <v>538683</v>
      </c>
      <c r="F70" s="503">
        <v>-51513</v>
      </c>
      <c r="G70" s="499"/>
      <c r="H70" s="499"/>
      <c r="J70" s="164">
        <v>487170</v>
      </c>
    </row>
    <row r="71" ht="9" customHeight="1"/>
    <row r="72" spans="1:10" ht="19.5" customHeight="1">
      <c r="A72" s="504" t="s">
        <v>839</v>
      </c>
      <c r="B72" s="502"/>
      <c r="C72" s="502"/>
      <c r="D72" s="502"/>
      <c r="E72" s="502"/>
      <c r="F72" s="502"/>
      <c r="G72" s="502"/>
      <c r="H72" s="502"/>
      <c r="I72" s="502"/>
      <c r="J72" s="502"/>
    </row>
    <row r="73" spans="2:10" s="168" customFormat="1" ht="15" customHeight="1">
      <c r="B73" s="495" t="s">
        <v>779</v>
      </c>
      <c r="C73" s="496"/>
      <c r="D73" s="496"/>
      <c r="E73" s="169">
        <v>415140</v>
      </c>
      <c r="F73" s="497">
        <v>0</v>
      </c>
      <c r="G73" s="497"/>
      <c r="H73" s="497"/>
      <c r="J73" s="169">
        <v>415140</v>
      </c>
    </row>
    <row r="74" spans="2:10" ht="15" customHeight="1">
      <c r="B74" s="501" t="s">
        <v>777</v>
      </c>
      <c r="C74" s="502"/>
      <c r="D74" s="502"/>
      <c r="E74" s="164">
        <v>219140</v>
      </c>
      <c r="F74" s="503">
        <v>0</v>
      </c>
      <c r="G74" s="503"/>
      <c r="H74" s="503"/>
      <c r="J74" s="164">
        <v>219140</v>
      </c>
    </row>
    <row r="75" spans="2:10" ht="15" customHeight="1">
      <c r="B75" s="501" t="s">
        <v>776</v>
      </c>
      <c r="C75" s="502"/>
      <c r="D75" s="502"/>
      <c r="E75" s="164">
        <v>25000</v>
      </c>
      <c r="F75" s="503">
        <v>0</v>
      </c>
      <c r="G75" s="503"/>
      <c r="H75" s="503"/>
      <c r="J75" s="164">
        <v>25000</v>
      </c>
    </row>
    <row r="76" spans="2:10" ht="15" customHeight="1">
      <c r="B76" s="501" t="s">
        <v>774</v>
      </c>
      <c r="C76" s="502"/>
      <c r="D76" s="502"/>
      <c r="E76" s="164">
        <v>171000</v>
      </c>
      <c r="F76" s="503">
        <v>0</v>
      </c>
      <c r="G76" s="503"/>
      <c r="H76" s="503"/>
      <c r="J76" s="164">
        <v>171000</v>
      </c>
    </row>
    <row r="77" ht="9" customHeight="1"/>
    <row r="78" spans="1:10" ht="30.75" customHeight="1">
      <c r="A78" s="504" t="s">
        <v>838</v>
      </c>
      <c r="B78" s="502"/>
      <c r="C78" s="502"/>
      <c r="D78" s="502"/>
      <c r="E78" s="502"/>
      <c r="F78" s="502"/>
      <c r="G78" s="502"/>
      <c r="H78" s="502"/>
      <c r="I78" s="502"/>
      <c r="J78" s="502"/>
    </row>
    <row r="79" spans="2:10" s="168" customFormat="1" ht="15" customHeight="1">
      <c r="B79" s="495" t="s">
        <v>779</v>
      </c>
      <c r="C79" s="496"/>
      <c r="D79" s="496"/>
      <c r="E79" s="169">
        <v>10200</v>
      </c>
      <c r="F79" s="497">
        <v>0</v>
      </c>
      <c r="G79" s="497"/>
      <c r="H79" s="497"/>
      <c r="J79" s="169">
        <v>10200</v>
      </c>
    </row>
    <row r="80" spans="2:10" ht="15" customHeight="1">
      <c r="B80" s="501" t="s">
        <v>778</v>
      </c>
      <c r="C80" s="502"/>
      <c r="D80" s="502"/>
      <c r="E80" s="164">
        <v>2600</v>
      </c>
      <c r="F80" s="503">
        <v>0</v>
      </c>
      <c r="G80" s="503"/>
      <c r="H80" s="503"/>
      <c r="J80" s="164">
        <v>2600</v>
      </c>
    </row>
    <row r="81" spans="2:10" ht="15" customHeight="1">
      <c r="B81" s="501" t="s">
        <v>777</v>
      </c>
      <c r="C81" s="502"/>
      <c r="D81" s="502"/>
      <c r="E81" s="164">
        <v>2600</v>
      </c>
      <c r="F81" s="503">
        <v>0</v>
      </c>
      <c r="G81" s="503"/>
      <c r="H81" s="503"/>
      <c r="J81" s="164">
        <v>2600</v>
      </c>
    </row>
    <row r="82" spans="2:10" ht="15" customHeight="1">
      <c r="B82" s="501" t="s">
        <v>774</v>
      </c>
      <c r="C82" s="502"/>
      <c r="D82" s="502"/>
      <c r="E82" s="164">
        <v>5000</v>
      </c>
      <c r="F82" s="503">
        <v>0</v>
      </c>
      <c r="G82" s="503"/>
      <c r="H82" s="503"/>
      <c r="J82" s="164">
        <v>5000</v>
      </c>
    </row>
    <row r="83" ht="9" customHeight="1"/>
    <row r="84" spans="1:10" ht="31.5" customHeight="1">
      <c r="A84" s="504" t="s">
        <v>837</v>
      </c>
      <c r="B84" s="502"/>
      <c r="C84" s="502"/>
      <c r="D84" s="502"/>
      <c r="E84" s="502"/>
      <c r="F84" s="502"/>
      <c r="G84" s="502"/>
      <c r="H84" s="502"/>
      <c r="I84" s="502"/>
      <c r="J84" s="502"/>
    </row>
    <row r="85" spans="2:10" s="168" customFormat="1" ht="15" customHeight="1">
      <c r="B85" s="495" t="s">
        <v>779</v>
      </c>
      <c r="C85" s="496"/>
      <c r="D85" s="496"/>
      <c r="E85" s="169">
        <v>12000</v>
      </c>
      <c r="F85" s="497">
        <v>0</v>
      </c>
      <c r="G85" s="497"/>
      <c r="H85" s="497"/>
      <c r="J85" s="169">
        <v>12000</v>
      </c>
    </row>
    <row r="86" spans="2:10" ht="15" customHeight="1">
      <c r="B86" s="501" t="s">
        <v>776</v>
      </c>
      <c r="C86" s="502"/>
      <c r="D86" s="502"/>
      <c r="E86" s="164">
        <v>12000</v>
      </c>
      <c r="F86" s="503">
        <v>0</v>
      </c>
      <c r="G86" s="503"/>
      <c r="H86" s="503"/>
      <c r="J86" s="164">
        <v>12000</v>
      </c>
    </row>
    <row r="87" ht="9" customHeight="1"/>
    <row r="88" spans="1:10" ht="15">
      <c r="A88" s="504" t="s">
        <v>1070</v>
      </c>
      <c r="B88" s="502"/>
      <c r="C88" s="502"/>
      <c r="D88" s="502"/>
      <c r="E88" s="502"/>
      <c r="F88" s="502"/>
      <c r="G88" s="502"/>
      <c r="H88" s="502"/>
      <c r="I88" s="502"/>
      <c r="J88" s="502"/>
    </row>
    <row r="89" spans="2:10" s="168" customFormat="1" ht="15" customHeight="1">
      <c r="B89" s="495" t="s">
        <v>779</v>
      </c>
      <c r="C89" s="496"/>
      <c r="D89" s="496"/>
      <c r="E89" s="169">
        <v>288000</v>
      </c>
      <c r="F89" s="497">
        <v>0</v>
      </c>
      <c r="G89" s="497"/>
      <c r="H89" s="497"/>
      <c r="J89" s="169">
        <v>288000</v>
      </c>
    </row>
    <row r="90" spans="2:10" ht="15" customHeight="1">
      <c r="B90" s="501" t="s">
        <v>774</v>
      </c>
      <c r="C90" s="502"/>
      <c r="D90" s="502"/>
      <c r="E90" s="164">
        <v>288000</v>
      </c>
      <c r="F90" s="503">
        <v>0</v>
      </c>
      <c r="G90" s="503"/>
      <c r="H90" s="503"/>
      <c r="J90" s="164">
        <v>288000</v>
      </c>
    </row>
    <row r="91" ht="9" customHeight="1"/>
    <row r="92" spans="1:10" ht="19.5" customHeight="1">
      <c r="A92" s="504" t="s">
        <v>836</v>
      </c>
      <c r="B92" s="502"/>
      <c r="C92" s="502"/>
      <c r="D92" s="502"/>
      <c r="E92" s="502"/>
      <c r="F92" s="502"/>
      <c r="G92" s="502"/>
      <c r="H92" s="502"/>
      <c r="I92" s="502"/>
      <c r="J92" s="502"/>
    </row>
    <row r="93" spans="2:10" s="168" customFormat="1" ht="15" customHeight="1">
      <c r="B93" s="495" t="s">
        <v>779</v>
      </c>
      <c r="C93" s="496"/>
      <c r="D93" s="496"/>
      <c r="E93" s="169">
        <v>396300</v>
      </c>
      <c r="F93" s="497">
        <v>-4700</v>
      </c>
      <c r="G93" s="500"/>
      <c r="H93" s="500"/>
      <c r="J93" s="169">
        <v>391600</v>
      </c>
    </row>
    <row r="94" spans="2:10" ht="15" customHeight="1">
      <c r="B94" s="501" t="s">
        <v>778</v>
      </c>
      <c r="C94" s="502"/>
      <c r="D94" s="502"/>
      <c r="E94" s="164">
        <v>27165</v>
      </c>
      <c r="F94" s="503">
        <v>0</v>
      </c>
      <c r="G94" s="503"/>
      <c r="H94" s="503"/>
      <c r="J94" s="164">
        <v>27165</v>
      </c>
    </row>
    <row r="95" spans="2:10" ht="15" customHeight="1">
      <c r="B95" s="501" t="s">
        <v>777</v>
      </c>
      <c r="C95" s="502"/>
      <c r="D95" s="502"/>
      <c r="E95" s="164">
        <v>333935</v>
      </c>
      <c r="F95" s="503">
        <v>-4700</v>
      </c>
      <c r="G95" s="499"/>
      <c r="H95" s="499"/>
      <c r="J95" s="164">
        <v>329235</v>
      </c>
    </row>
    <row r="96" spans="2:10" ht="15" customHeight="1">
      <c r="B96" s="501" t="s">
        <v>774</v>
      </c>
      <c r="C96" s="502"/>
      <c r="D96" s="502"/>
      <c r="E96" s="164">
        <v>28000</v>
      </c>
      <c r="F96" s="503">
        <v>0</v>
      </c>
      <c r="G96" s="503"/>
      <c r="H96" s="503"/>
      <c r="J96" s="164">
        <v>28000</v>
      </c>
    </row>
    <row r="97" spans="2:10" ht="15" customHeight="1">
      <c r="B97" s="501" t="s">
        <v>773</v>
      </c>
      <c r="C97" s="502"/>
      <c r="D97" s="502"/>
      <c r="E97" s="164">
        <v>7200</v>
      </c>
      <c r="F97" s="503">
        <v>0</v>
      </c>
      <c r="G97" s="503"/>
      <c r="H97" s="503"/>
      <c r="J97" s="164">
        <v>7200</v>
      </c>
    </row>
    <row r="98" ht="9" customHeight="1"/>
    <row r="99" spans="1:10" ht="31.5" customHeight="1">
      <c r="A99" s="504" t="s">
        <v>1069</v>
      </c>
      <c r="B99" s="502"/>
      <c r="C99" s="502"/>
      <c r="D99" s="502"/>
      <c r="E99" s="502"/>
      <c r="F99" s="502"/>
      <c r="G99" s="502"/>
      <c r="H99" s="502"/>
      <c r="I99" s="502"/>
      <c r="J99" s="502"/>
    </row>
    <row r="100" spans="2:10" s="168" customFormat="1" ht="15" customHeight="1">
      <c r="B100" s="495" t="s">
        <v>779</v>
      </c>
      <c r="C100" s="496"/>
      <c r="D100" s="496"/>
      <c r="E100" s="169">
        <v>37055</v>
      </c>
      <c r="F100" s="497">
        <v>0</v>
      </c>
      <c r="G100" s="497"/>
      <c r="H100" s="497"/>
      <c r="J100" s="169">
        <v>37055</v>
      </c>
    </row>
    <row r="101" spans="2:10" ht="15" customHeight="1">
      <c r="B101" s="501" t="s">
        <v>777</v>
      </c>
      <c r="C101" s="502"/>
      <c r="D101" s="502"/>
      <c r="E101" s="164">
        <v>1165</v>
      </c>
      <c r="F101" s="503">
        <v>20169</v>
      </c>
      <c r="G101" s="499"/>
      <c r="H101" s="499"/>
      <c r="J101" s="164">
        <v>21334</v>
      </c>
    </row>
    <row r="102" spans="2:10" ht="15" customHeight="1">
      <c r="B102" s="501" t="s">
        <v>774</v>
      </c>
      <c r="C102" s="502"/>
      <c r="D102" s="502"/>
      <c r="E102" s="164">
        <v>35890</v>
      </c>
      <c r="F102" s="503">
        <v>-20169</v>
      </c>
      <c r="G102" s="499"/>
      <c r="H102" s="499"/>
      <c r="J102" s="164">
        <v>15721</v>
      </c>
    </row>
    <row r="103" ht="9" customHeight="1"/>
    <row r="104" spans="1:10" ht="31.5" customHeight="1">
      <c r="A104" s="504" t="s">
        <v>1068</v>
      </c>
      <c r="B104" s="502"/>
      <c r="C104" s="502"/>
      <c r="D104" s="502"/>
      <c r="E104" s="502"/>
      <c r="F104" s="502"/>
      <c r="G104" s="502"/>
      <c r="H104" s="502"/>
      <c r="I104" s="502"/>
      <c r="J104" s="502"/>
    </row>
    <row r="105" spans="2:10" s="168" customFormat="1" ht="15" customHeight="1">
      <c r="B105" s="495" t="s">
        <v>779</v>
      </c>
      <c r="C105" s="496"/>
      <c r="D105" s="496"/>
      <c r="E105" s="169">
        <v>363765</v>
      </c>
      <c r="F105" s="497">
        <v>0</v>
      </c>
      <c r="G105" s="497"/>
      <c r="H105" s="497"/>
      <c r="J105" s="169">
        <v>363765</v>
      </c>
    </row>
    <row r="106" spans="2:10" ht="15" customHeight="1">
      <c r="B106" s="501" t="s">
        <v>774</v>
      </c>
      <c r="C106" s="502"/>
      <c r="D106" s="502"/>
      <c r="E106" s="164">
        <v>363765</v>
      </c>
      <c r="F106" s="503">
        <v>0</v>
      </c>
      <c r="G106" s="503"/>
      <c r="H106" s="503"/>
      <c r="J106" s="164">
        <v>363765</v>
      </c>
    </row>
    <row r="107" ht="9" customHeight="1"/>
    <row r="108" spans="1:10" ht="19.5" customHeight="1">
      <c r="A108" s="504" t="s">
        <v>1067</v>
      </c>
      <c r="B108" s="502"/>
      <c r="C108" s="502"/>
      <c r="D108" s="502"/>
      <c r="E108" s="502"/>
      <c r="F108" s="502"/>
      <c r="G108" s="502"/>
      <c r="H108" s="502"/>
      <c r="I108" s="502"/>
      <c r="J108" s="502"/>
    </row>
    <row r="109" spans="2:10" s="168" customFormat="1" ht="15" customHeight="1">
      <c r="B109" s="495" t="s">
        <v>779</v>
      </c>
      <c r="C109" s="496"/>
      <c r="D109" s="496"/>
      <c r="E109" s="169">
        <v>22094</v>
      </c>
      <c r="F109" s="497">
        <v>0</v>
      </c>
      <c r="G109" s="497"/>
      <c r="H109" s="497"/>
      <c r="J109" s="169">
        <v>22094</v>
      </c>
    </row>
    <row r="110" spans="2:10" ht="15" customHeight="1">
      <c r="B110" s="501" t="s">
        <v>777</v>
      </c>
      <c r="C110" s="502"/>
      <c r="D110" s="502"/>
      <c r="E110" s="164">
        <v>22094</v>
      </c>
      <c r="F110" s="503">
        <v>0</v>
      </c>
      <c r="G110" s="503"/>
      <c r="H110" s="503"/>
      <c r="J110" s="164">
        <v>22094</v>
      </c>
    </row>
    <row r="111" ht="9" customHeight="1"/>
    <row r="112" spans="1:10" ht="31.5" customHeight="1">
      <c r="A112" s="504" t="s">
        <v>1066</v>
      </c>
      <c r="B112" s="502"/>
      <c r="C112" s="502"/>
      <c r="D112" s="502"/>
      <c r="E112" s="502"/>
      <c r="F112" s="502"/>
      <c r="G112" s="502"/>
      <c r="H112" s="502"/>
      <c r="I112" s="502"/>
      <c r="J112" s="502"/>
    </row>
    <row r="113" spans="2:10" s="168" customFormat="1" ht="15" customHeight="1">
      <c r="B113" s="495" t="s">
        <v>779</v>
      </c>
      <c r="C113" s="496"/>
      <c r="D113" s="496"/>
      <c r="E113" s="169">
        <v>36300</v>
      </c>
      <c r="F113" s="497">
        <v>0</v>
      </c>
      <c r="G113" s="497"/>
      <c r="H113" s="497"/>
      <c r="J113" s="169">
        <v>36300</v>
      </c>
    </row>
    <row r="114" spans="2:10" ht="15" customHeight="1">
      <c r="B114" s="501" t="s">
        <v>773</v>
      </c>
      <c r="C114" s="502"/>
      <c r="D114" s="502"/>
      <c r="E114" s="164">
        <v>36300</v>
      </c>
      <c r="F114" s="503">
        <v>0</v>
      </c>
      <c r="G114" s="503"/>
      <c r="H114" s="503"/>
      <c r="J114" s="164">
        <v>36300</v>
      </c>
    </row>
    <row r="115" ht="9" customHeight="1"/>
    <row r="116" spans="1:10" ht="47.25" customHeight="1">
      <c r="A116" s="509" t="s">
        <v>1065</v>
      </c>
      <c r="B116" s="506"/>
      <c r="C116" s="506"/>
      <c r="D116" s="506"/>
      <c r="E116" s="506"/>
      <c r="F116" s="506"/>
      <c r="G116" s="506"/>
      <c r="H116" s="506"/>
      <c r="I116" s="506"/>
      <c r="J116" s="506"/>
    </row>
    <row r="117" spans="1:10" s="168" customFormat="1" ht="15" customHeight="1">
      <c r="A117" s="166"/>
      <c r="B117" s="505" t="s">
        <v>779</v>
      </c>
      <c r="C117" s="506"/>
      <c r="D117" s="506"/>
      <c r="E117" s="473">
        <v>286957</v>
      </c>
      <c r="F117" s="507">
        <v>0</v>
      </c>
      <c r="G117" s="507"/>
      <c r="H117" s="507"/>
      <c r="I117" s="166"/>
      <c r="J117" s="473">
        <v>286957</v>
      </c>
    </row>
    <row r="118" spans="1:10" ht="15" customHeight="1">
      <c r="A118" s="166"/>
      <c r="B118" s="505" t="s">
        <v>778</v>
      </c>
      <c r="C118" s="506"/>
      <c r="D118" s="506"/>
      <c r="E118" s="473">
        <v>241667</v>
      </c>
      <c r="F118" s="507">
        <v>0</v>
      </c>
      <c r="G118" s="507"/>
      <c r="H118" s="507"/>
      <c r="I118" s="166"/>
      <c r="J118" s="473">
        <v>241667</v>
      </c>
    </row>
    <row r="119" spans="1:10" ht="15" customHeight="1">
      <c r="A119" s="166"/>
      <c r="B119" s="505" t="s">
        <v>777</v>
      </c>
      <c r="C119" s="506"/>
      <c r="D119" s="506"/>
      <c r="E119" s="473">
        <v>43590</v>
      </c>
      <c r="F119" s="507">
        <v>0</v>
      </c>
      <c r="G119" s="507"/>
      <c r="H119" s="507"/>
      <c r="I119" s="166"/>
      <c r="J119" s="473">
        <v>43590</v>
      </c>
    </row>
    <row r="120" spans="1:10" ht="30" customHeight="1">
      <c r="A120" s="166"/>
      <c r="B120" s="505" t="s">
        <v>772</v>
      </c>
      <c r="C120" s="506"/>
      <c r="D120" s="506"/>
      <c r="E120" s="473">
        <v>1700</v>
      </c>
      <c r="F120" s="507">
        <v>0</v>
      </c>
      <c r="G120" s="507"/>
      <c r="H120" s="507"/>
      <c r="I120" s="166"/>
      <c r="J120" s="473">
        <v>1700</v>
      </c>
    </row>
    <row r="121" ht="9" customHeight="1"/>
    <row r="122" spans="1:10" ht="34.5" customHeight="1">
      <c r="A122" s="504" t="s">
        <v>1064</v>
      </c>
      <c r="B122" s="502"/>
      <c r="C122" s="502"/>
      <c r="D122" s="502"/>
      <c r="E122" s="502"/>
      <c r="F122" s="502"/>
      <c r="G122" s="502"/>
      <c r="H122" s="502"/>
      <c r="I122" s="502"/>
      <c r="J122" s="502"/>
    </row>
    <row r="123" spans="2:10" s="168" customFormat="1" ht="15" customHeight="1">
      <c r="B123" s="495" t="s">
        <v>779</v>
      </c>
      <c r="C123" s="496"/>
      <c r="D123" s="496"/>
      <c r="E123" s="169">
        <v>286957</v>
      </c>
      <c r="F123" s="497">
        <v>0</v>
      </c>
      <c r="G123" s="497"/>
      <c r="H123" s="497"/>
      <c r="J123" s="169">
        <v>286957</v>
      </c>
    </row>
    <row r="124" spans="2:10" ht="15" customHeight="1">
      <c r="B124" s="501" t="s">
        <v>778</v>
      </c>
      <c r="C124" s="502"/>
      <c r="D124" s="502"/>
      <c r="E124" s="164">
        <v>241667</v>
      </c>
      <c r="F124" s="503">
        <v>0</v>
      </c>
      <c r="G124" s="503"/>
      <c r="H124" s="503"/>
      <c r="J124" s="164">
        <v>241667</v>
      </c>
    </row>
    <row r="125" spans="2:10" ht="15" customHeight="1">
      <c r="B125" s="501" t="s">
        <v>777</v>
      </c>
      <c r="C125" s="502"/>
      <c r="D125" s="502"/>
      <c r="E125" s="164">
        <v>43590</v>
      </c>
      <c r="F125" s="503">
        <v>0</v>
      </c>
      <c r="G125" s="503"/>
      <c r="H125" s="503"/>
      <c r="J125" s="164">
        <v>43590</v>
      </c>
    </row>
    <row r="126" spans="2:10" ht="30" customHeight="1">
      <c r="B126" s="501" t="s">
        <v>772</v>
      </c>
      <c r="C126" s="502"/>
      <c r="D126" s="502"/>
      <c r="E126" s="164">
        <v>1700</v>
      </c>
      <c r="F126" s="503">
        <v>0</v>
      </c>
      <c r="G126" s="503"/>
      <c r="H126" s="503"/>
      <c r="J126" s="164">
        <v>1700</v>
      </c>
    </row>
    <row r="127" ht="9" customHeight="1"/>
    <row r="128" spans="1:10" ht="31.5" customHeight="1">
      <c r="A128" s="509" t="s">
        <v>1063</v>
      </c>
      <c r="B128" s="510"/>
      <c r="C128" s="510"/>
      <c r="D128" s="510"/>
      <c r="E128" s="510"/>
      <c r="F128" s="510"/>
      <c r="G128" s="510"/>
      <c r="H128" s="510"/>
      <c r="I128" s="510"/>
      <c r="J128" s="510"/>
    </row>
    <row r="129" spans="1:10" s="168" customFormat="1" ht="15" customHeight="1">
      <c r="A129" s="166"/>
      <c r="B129" s="505" t="s">
        <v>779</v>
      </c>
      <c r="C129" s="506"/>
      <c r="D129" s="506"/>
      <c r="E129" s="473">
        <v>9179363</v>
      </c>
      <c r="F129" s="507">
        <v>-122885</v>
      </c>
      <c r="G129" s="508"/>
      <c r="H129" s="508"/>
      <c r="I129" s="166"/>
      <c r="J129" s="473">
        <v>9056478</v>
      </c>
    </row>
    <row r="130" spans="1:10" s="168" customFormat="1" ht="15" customHeight="1">
      <c r="A130" s="166"/>
      <c r="B130" s="505" t="s">
        <v>777</v>
      </c>
      <c r="C130" s="506"/>
      <c r="D130" s="506"/>
      <c r="E130" s="473">
        <v>533783</v>
      </c>
      <c r="F130" s="507">
        <v>-122885</v>
      </c>
      <c r="G130" s="508"/>
      <c r="H130" s="508"/>
      <c r="I130" s="166"/>
      <c r="J130" s="473">
        <v>410898</v>
      </c>
    </row>
    <row r="131" spans="1:10" s="168" customFormat="1" ht="15" customHeight="1">
      <c r="A131" s="166"/>
      <c r="B131" s="505" t="s">
        <v>776</v>
      </c>
      <c r="C131" s="506"/>
      <c r="D131" s="506"/>
      <c r="E131" s="473">
        <v>3795542</v>
      </c>
      <c r="F131" s="507">
        <v>0</v>
      </c>
      <c r="G131" s="507"/>
      <c r="H131" s="507"/>
      <c r="I131" s="166"/>
      <c r="J131" s="473">
        <v>3795542</v>
      </c>
    </row>
    <row r="132" spans="1:10" s="168" customFormat="1" ht="15" customHeight="1">
      <c r="A132" s="166"/>
      <c r="B132" s="505" t="s">
        <v>775</v>
      </c>
      <c r="C132" s="506"/>
      <c r="D132" s="506"/>
      <c r="E132" s="473">
        <v>4840038</v>
      </c>
      <c r="F132" s="507">
        <v>0</v>
      </c>
      <c r="G132" s="507"/>
      <c r="H132" s="507"/>
      <c r="I132" s="166"/>
      <c r="J132" s="473">
        <v>4840038</v>
      </c>
    </row>
    <row r="133" spans="1:10" s="168" customFormat="1" ht="30" customHeight="1">
      <c r="A133" s="166"/>
      <c r="B133" s="505" t="s">
        <v>772</v>
      </c>
      <c r="C133" s="506"/>
      <c r="D133" s="506"/>
      <c r="E133" s="473">
        <v>10000</v>
      </c>
      <c r="F133" s="507">
        <v>0</v>
      </c>
      <c r="G133" s="507"/>
      <c r="H133" s="507"/>
      <c r="I133" s="166"/>
      <c r="J133" s="473">
        <v>10000</v>
      </c>
    </row>
    <row r="134" spans="1:10" ht="9" customHeigh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</row>
    <row r="135" spans="1:10" ht="19.5" customHeight="1">
      <c r="A135" s="504" t="s">
        <v>835</v>
      </c>
      <c r="B135" s="502"/>
      <c r="C135" s="502"/>
      <c r="D135" s="502"/>
      <c r="E135" s="502"/>
      <c r="F135" s="502"/>
      <c r="G135" s="502"/>
      <c r="H135" s="502"/>
      <c r="I135" s="502"/>
      <c r="J135" s="502"/>
    </row>
    <row r="136" spans="2:10" s="168" customFormat="1" ht="15" customHeight="1">
      <c r="B136" s="495" t="s">
        <v>779</v>
      </c>
      <c r="C136" s="496"/>
      <c r="D136" s="496"/>
      <c r="E136" s="169">
        <v>100694</v>
      </c>
      <c r="F136" s="497">
        <v>0</v>
      </c>
      <c r="G136" s="497"/>
      <c r="H136" s="497"/>
      <c r="J136" s="169">
        <v>100694</v>
      </c>
    </row>
    <row r="137" spans="2:10" ht="15" customHeight="1">
      <c r="B137" s="501" t="s">
        <v>777</v>
      </c>
      <c r="C137" s="502"/>
      <c r="D137" s="502"/>
      <c r="E137" s="164">
        <v>100694</v>
      </c>
      <c r="F137" s="503">
        <v>0</v>
      </c>
      <c r="G137" s="503"/>
      <c r="H137" s="503"/>
      <c r="J137" s="164">
        <v>100694</v>
      </c>
    </row>
    <row r="138" ht="9" customHeight="1"/>
    <row r="139" spans="1:10" ht="19.5" customHeight="1">
      <c r="A139" s="504" t="s">
        <v>834</v>
      </c>
      <c r="B139" s="502"/>
      <c r="C139" s="502"/>
      <c r="D139" s="502"/>
      <c r="E139" s="502"/>
      <c r="F139" s="502"/>
      <c r="G139" s="502"/>
      <c r="H139" s="502"/>
      <c r="I139" s="502"/>
      <c r="J139" s="502"/>
    </row>
    <row r="140" spans="2:10" ht="15" customHeight="1">
      <c r="B140" s="501" t="s">
        <v>779</v>
      </c>
      <c r="C140" s="502"/>
      <c r="D140" s="502"/>
      <c r="E140" s="164">
        <v>5010038</v>
      </c>
      <c r="F140" s="503">
        <v>0</v>
      </c>
      <c r="G140" s="503"/>
      <c r="H140" s="503"/>
      <c r="J140" s="164">
        <v>5010038</v>
      </c>
    </row>
    <row r="141" spans="2:10" s="168" customFormat="1" ht="15" customHeight="1">
      <c r="B141" s="495" t="s">
        <v>777</v>
      </c>
      <c r="C141" s="496"/>
      <c r="D141" s="496"/>
      <c r="E141" s="169">
        <v>170000</v>
      </c>
      <c r="F141" s="497">
        <v>0</v>
      </c>
      <c r="G141" s="497"/>
      <c r="H141" s="497"/>
      <c r="J141" s="169">
        <v>170000</v>
      </c>
    </row>
    <row r="142" spans="2:10" ht="15" customHeight="1">
      <c r="B142" s="501" t="s">
        <v>775</v>
      </c>
      <c r="C142" s="502"/>
      <c r="D142" s="502"/>
      <c r="E142" s="164">
        <v>4840038</v>
      </c>
      <c r="F142" s="503">
        <v>0</v>
      </c>
      <c r="G142" s="503"/>
      <c r="H142" s="503"/>
      <c r="J142" s="164">
        <v>4840038</v>
      </c>
    </row>
    <row r="143" ht="9" customHeight="1"/>
    <row r="144" spans="1:10" ht="19.5" customHeight="1">
      <c r="A144" s="504" t="s">
        <v>833</v>
      </c>
      <c r="B144" s="502"/>
      <c r="C144" s="502"/>
      <c r="D144" s="502"/>
      <c r="E144" s="502"/>
      <c r="F144" s="502"/>
      <c r="G144" s="502"/>
      <c r="H144" s="502"/>
      <c r="I144" s="502"/>
      <c r="J144" s="502"/>
    </row>
    <row r="145" spans="2:10" s="168" customFormat="1" ht="15" customHeight="1">
      <c r="B145" s="495" t="s">
        <v>779</v>
      </c>
      <c r="C145" s="496"/>
      <c r="D145" s="496"/>
      <c r="E145" s="169">
        <v>150000</v>
      </c>
      <c r="F145" s="497">
        <v>-122885</v>
      </c>
      <c r="G145" s="500"/>
      <c r="H145" s="500"/>
      <c r="J145" s="169">
        <v>27115</v>
      </c>
    </row>
    <row r="146" spans="2:10" ht="15" customHeight="1">
      <c r="B146" s="501" t="s">
        <v>777</v>
      </c>
      <c r="C146" s="502"/>
      <c r="D146" s="502"/>
      <c r="E146" s="164">
        <v>150000</v>
      </c>
      <c r="F146" s="503">
        <v>-122885</v>
      </c>
      <c r="G146" s="499"/>
      <c r="H146" s="499"/>
      <c r="J146" s="164">
        <v>27115</v>
      </c>
    </row>
    <row r="147" ht="9" customHeight="1"/>
    <row r="148" spans="1:10" ht="31.5" customHeight="1">
      <c r="A148" s="504" t="s">
        <v>832</v>
      </c>
      <c r="B148" s="502"/>
      <c r="C148" s="502"/>
      <c r="D148" s="502"/>
      <c r="E148" s="502"/>
      <c r="F148" s="502"/>
      <c r="G148" s="502"/>
      <c r="H148" s="502"/>
      <c r="I148" s="502"/>
      <c r="J148" s="502"/>
    </row>
    <row r="149" spans="2:10" s="168" customFormat="1" ht="15" customHeight="1">
      <c r="B149" s="495" t="s">
        <v>779</v>
      </c>
      <c r="C149" s="496"/>
      <c r="D149" s="496"/>
      <c r="E149" s="169">
        <v>2496650</v>
      </c>
      <c r="F149" s="497">
        <v>0</v>
      </c>
      <c r="G149" s="497"/>
      <c r="H149" s="497"/>
      <c r="J149" s="169">
        <v>2496650</v>
      </c>
    </row>
    <row r="150" spans="2:10" ht="15" customHeight="1">
      <c r="B150" s="501" t="s">
        <v>776</v>
      </c>
      <c r="C150" s="502"/>
      <c r="D150" s="502"/>
      <c r="E150" s="164">
        <v>2496650</v>
      </c>
      <c r="F150" s="503">
        <v>0</v>
      </c>
      <c r="G150" s="503"/>
      <c r="H150" s="503"/>
      <c r="J150" s="164">
        <v>2496650</v>
      </c>
    </row>
    <row r="151" ht="9" customHeight="1"/>
    <row r="152" spans="1:10" ht="19.5" customHeight="1">
      <c r="A152" s="504" t="s">
        <v>831</v>
      </c>
      <c r="B152" s="502"/>
      <c r="C152" s="502"/>
      <c r="D152" s="502"/>
      <c r="E152" s="502"/>
      <c r="F152" s="502"/>
      <c r="G152" s="502"/>
      <c r="H152" s="502"/>
      <c r="I152" s="502"/>
      <c r="J152" s="502"/>
    </row>
    <row r="153" spans="2:10" s="168" customFormat="1" ht="15" customHeight="1">
      <c r="B153" s="495" t="s">
        <v>779</v>
      </c>
      <c r="C153" s="496"/>
      <c r="D153" s="496"/>
      <c r="E153" s="169">
        <v>10000</v>
      </c>
      <c r="F153" s="497">
        <v>0</v>
      </c>
      <c r="G153" s="497"/>
      <c r="H153" s="497"/>
      <c r="J153" s="169">
        <v>10000</v>
      </c>
    </row>
    <row r="154" spans="2:10" ht="30" customHeight="1">
      <c r="B154" s="501" t="s">
        <v>772</v>
      </c>
      <c r="C154" s="502"/>
      <c r="D154" s="502"/>
      <c r="E154" s="164">
        <v>10000</v>
      </c>
      <c r="F154" s="503">
        <v>0</v>
      </c>
      <c r="G154" s="503"/>
      <c r="H154" s="503"/>
      <c r="J154" s="164">
        <v>10000</v>
      </c>
    </row>
    <row r="155" ht="9" customHeight="1"/>
    <row r="156" spans="1:10" ht="31.5" customHeight="1">
      <c r="A156" s="504" t="s">
        <v>1062</v>
      </c>
      <c r="B156" s="502"/>
      <c r="C156" s="502"/>
      <c r="D156" s="502"/>
      <c r="E156" s="502"/>
      <c r="F156" s="502"/>
      <c r="G156" s="502"/>
      <c r="H156" s="502"/>
      <c r="I156" s="502"/>
      <c r="J156" s="502"/>
    </row>
    <row r="157" spans="2:10" s="168" customFormat="1" ht="15" customHeight="1">
      <c r="B157" s="495" t="s">
        <v>779</v>
      </c>
      <c r="C157" s="496"/>
      <c r="D157" s="496"/>
      <c r="E157" s="169">
        <v>50000</v>
      </c>
      <c r="F157" s="497">
        <v>0</v>
      </c>
      <c r="G157" s="497"/>
      <c r="H157" s="497"/>
      <c r="J157" s="169">
        <v>50000</v>
      </c>
    </row>
    <row r="158" spans="2:10" ht="15" customHeight="1">
      <c r="B158" s="501" t="s">
        <v>776</v>
      </c>
      <c r="C158" s="502"/>
      <c r="D158" s="502"/>
      <c r="E158" s="164">
        <v>50000</v>
      </c>
      <c r="F158" s="503">
        <v>0</v>
      </c>
      <c r="G158" s="503"/>
      <c r="H158" s="503"/>
      <c r="J158" s="164">
        <v>50000</v>
      </c>
    </row>
    <row r="159" ht="9" customHeight="1"/>
    <row r="160" spans="1:10" ht="19.5" customHeight="1">
      <c r="A160" s="504" t="s">
        <v>1061</v>
      </c>
      <c r="B160" s="502"/>
      <c r="C160" s="502"/>
      <c r="D160" s="502"/>
      <c r="E160" s="502"/>
      <c r="F160" s="502"/>
      <c r="G160" s="502"/>
      <c r="H160" s="502"/>
      <c r="I160" s="502"/>
      <c r="J160" s="502"/>
    </row>
    <row r="161" spans="2:10" s="168" customFormat="1" ht="15" customHeight="1">
      <c r="B161" s="495" t="s">
        <v>779</v>
      </c>
      <c r="C161" s="496"/>
      <c r="D161" s="496"/>
      <c r="E161" s="169">
        <v>786739</v>
      </c>
      <c r="F161" s="497">
        <v>0</v>
      </c>
      <c r="G161" s="497"/>
      <c r="H161" s="497"/>
      <c r="J161" s="169">
        <v>786739</v>
      </c>
    </row>
    <row r="162" spans="2:10" ht="15" customHeight="1">
      <c r="B162" s="501" t="s">
        <v>776</v>
      </c>
      <c r="C162" s="502"/>
      <c r="D162" s="502"/>
      <c r="E162" s="164">
        <v>786739</v>
      </c>
      <c r="F162" s="503">
        <v>0</v>
      </c>
      <c r="G162" s="503"/>
      <c r="H162" s="503"/>
      <c r="J162" s="164">
        <v>786739</v>
      </c>
    </row>
    <row r="163" ht="9" customHeight="1"/>
    <row r="164" spans="1:10" ht="33" customHeight="1">
      <c r="A164" s="504" t="s">
        <v>830</v>
      </c>
      <c r="B164" s="502"/>
      <c r="C164" s="502"/>
      <c r="D164" s="502"/>
      <c r="E164" s="502"/>
      <c r="F164" s="502"/>
      <c r="G164" s="502"/>
      <c r="H164" s="502"/>
      <c r="I164" s="502"/>
      <c r="J164" s="502"/>
    </row>
    <row r="165" spans="2:10" s="168" customFormat="1" ht="15" customHeight="1">
      <c r="B165" s="495" t="s">
        <v>779</v>
      </c>
      <c r="C165" s="496"/>
      <c r="D165" s="496"/>
      <c r="E165" s="169">
        <v>181063</v>
      </c>
      <c r="F165" s="497">
        <v>0</v>
      </c>
      <c r="G165" s="497"/>
      <c r="H165" s="497"/>
      <c r="J165" s="169">
        <v>181063</v>
      </c>
    </row>
    <row r="166" spans="2:10" ht="15" customHeight="1">
      <c r="B166" s="501" t="s">
        <v>776</v>
      </c>
      <c r="C166" s="502"/>
      <c r="D166" s="502"/>
      <c r="E166" s="164">
        <v>181063</v>
      </c>
      <c r="F166" s="503">
        <v>0</v>
      </c>
      <c r="G166" s="503"/>
      <c r="H166" s="503"/>
      <c r="J166" s="164">
        <v>181063</v>
      </c>
    </row>
    <row r="167" ht="9" customHeight="1"/>
    <row r="168" spans="1:10" ht="31.5" customHeight="1">
      <c r="A168" s="504" t="s">
        <v>1060</v>
      </c>
      <c r="B168" s="502"/>
      <c r="C168" s="502"/>
      <c r="D168" s="502"/>
      <c r="E168" s="502"/>
      <c r="F168" s="502"/>
      <c r="G168" s="502"/>
      <c r="H168" s="502"/>
      <c r="I168" s="502"/>
      <c r="J168" s="502"/>
    </row>
    <row r="169" spans="2:10" s="168" customFormat="1" ht="15" customHeight="1">
      <c r="B169" s="495" t="s">
        <v>779</v>
      </c>
      <c r="C169" s="496"/>
      <c r="D169" s="496"/>
      <c r="E169" s="169">
        <v>178090</v>
      </c>
      <c r="F169" s="497">
        <v>0</v>
      </c>
      <c r="G169" s="497"/>
      <c r="H169" s="497"/>
      <c r="J169" s="169">
        <v>178090</v>
      </c>
    </row>
    <row r="170" spans="2:10" ht="15" customHeight="1">
      <c r="B170" s="501" t="s">
        <v>776</v>
      </c>
      <c r="C170" s="502"/>
      <c r="D170" s="502"/>
      <c r="E170" s="164">
        <v>178090</v>
      </c>
      <c r="F170" s="503">
        <v>0</v>
      </c>
      <c r="G170" s="503"/>
      <c r="H170" s="503"/>
      <c r="J170" s="164">
        <v>178090</v>
      </c>
    </row>
    <row r="171" ht="9" customHeight="1"/>
    <row r="172" spans="1:10" ht="19.5" customHeight="1">
      <c r="A172" s="504" t="s">
        <v>829</v>
      </c>
      <c r="B172" s="502"/>
      <c r="C172" s="502"/>
      <c r="D172" s="502"/>
      <c r="E172" s="502"/>
      <c r="F172" s="502"/>
      <c r="G172" s="502"/>
      <c r="H172" s="502"/>
      <c r="I172" s="502"/>
      <c r="J172" s="502"/>
    </row>
    <row r="173" spans="2:10" s="168" customFormat="1" ht="15" customHeight="1">
      <c r="B173" s="495" t="s">
        <v>779</v>
      </c>
      <c r="C173" s="496"/>
      <c r="D173" s="496"/>
      <c r="E173" s="169">
        <v>103000</v>
      </c>
      <c r="F173" s="497">
        <v>0</v>
      </c>
      <c r="G173" s="497"/>
      <c r="H173" s="497"/>
      <c r="J173" s="169">
        <v>103000</v>
      </c>
    </row>
    <row r="174" spans="2:10" ht="15" customHeight="1">
      <c r="B174" s="501" t="s">
        <v>776</v>
      </c>
      <c r="C174" s="502"/>
      <c r="D174" s="502"/>
      <c r="E174" s="164">
        <v>103000</v>
      </c>
      <c r="F174" s="503">
        <v>0</v>
      </c>
      <c r="G174" s="503"/>
      <c r="H174" s="503"/>
      <c r="J174" s="164">
        <v>103000</v>
      </c>
    </row>
    <row r="175" ht="9" customHeight="1"/>
    <row r="176" spans="1:10" ht="19.5" customHeight="1">
      <c r="A176" s="504" t="s">
        <v>828</v>
      </c>
      <c r="B176" s="502"/>
      <c r="C176" s="502"/>
      <c r="D176" s="502"/>
      <c r="E176" s="502"/>
      <c r="F176" s="502"/>
      <c r="G176" s="502"/>
      <c r="H176" s="502"/>
      <c r="I176" s="502"/>
      <c r="J176" s="502"/>
    </row>
    <row r="177" spans="2:10" s="168" customFormat="1" ht="15" customHeight="1">
      <c r="B177" s="495" t="s">
        <v>779</v>
      </c>
      <c r="C177" s="496"/>
      <c r="D177" s="496"/>
      <c r="E177" s="169">
        <v>113089</v>
      </c>
      <c r="F177" s="497">
        <v>0</v>
      </c>
      <c r="G177" s="497"/>
      <c r="H177" s="497"/>
      <c r="J177" s="169">
        <v>113089</v>
      </c>
    </row>
    <row r="178" spans="2:10" ht="15" customHeight="1">
      <c r="B178" s="501" t="s">
        <v>777</v>
      </c>
      <c r="C178" s="502"/>
      <c r="D178" s="502"/>
      <c r="E178" s="164">
        <v>113089</v>
      </c>
      <c r="F178" s="503">
        <v>0</v>
      </c>
      <c r="G178" s="503"/>
      <c r="H178" s="503"/>
      <c r="J178" s="164">
        <v>113089</v>
      </c>
    </row>
    <row r="179" ht="9" customHeight="1"/>
    <row r="180" spans="1:10" ht="31.5" customHeight="1">
      <c r="A180" s="509" t="s">
        <v>1059</v>
      </c>
      <c r="B180" s="510"/>
      <c r="C180" s="510"/>
      <c r="D180" s="510"/>
      <c r="E180" s="510"/>
      <c r="F180" s="510"/>
      <c r="G180" s="510"/>
      <c r="H180" s="510"/>
      <c r="I180" s="510"/>
      <c r="J180" s="510"/>
    </row>
    <row r="181" spans="1:10" s="168" customFormat="1" ht="15" customHeight="1">
      <c r="A181" s="166"/>
      <c r="B181" s="505" t="s">
        <v>779</v>
      </c>
      <c r="C181" s="506"/>
      <c r="D181" s="506"/>
      <c r="E181" s="473">
        <v>335357</v>
      </c>
      <c r="F181" s="507">
        <v>0</v>
      </c>
      <c r="G181" s="507"/>
      <c r="H181" s="507"/>
      <c r="I181" s="166"/>
      <c r="J181" s="473">
        <v>335357</v>
      </c>
    </row>
    <row r="182" spans="1:10" ht="15" customHeight="1">
      <c r="A182" s="165"/>
      <c r="B182" s="505" t="s">
        <v>778</v>
      </c>
      <c r="C182" s="506"/>
      <c r="D182" s="506"/>
      <c r="E182" s="473">
        <v>327493</v>
      </c>
      <c r="F182" s="507">
        <v>0</v>
      </c>
      <c r="G182" s="507"/>
      <c r="H182" s="507"/>
      <c r="I182" s="166"/>
      <c r="J182" s="473">
        <v>327493</v>
      </c>
    </row>
    <row r="183" spans="1:10" ht="15" customHeight="1">
      <c r="A183" s="165"/>
      <c r="B183" s="505" t="s">
        <v>777</v>
      </c>
      <c r="C183" s="506"/>
      <c r="D183" s="506"/>
      <c r="E183" s="473">
        <v>7864</v>
      </c>
      <c r="F183" s="507">
        <v>0</v>
      </c>
      <c r="G183" s="507"/>
      <c r="H183" s="507"/>
      <c r="I183" s="166"/>
      <c r="J183" s="473">
        <v>7864</v>
      </c>
    </row>
    <row r="184" spans="1:10" ht="9" customHeight="1">
      <c r="A184" s="165"/>
      <c r="B184" s="165"/>
      <c r="C184" s="165"/>
      <c r="D184" s="165"/>
      <c r="E184" s="165"/>
      <c r="F184" s="165"/>
      <c r="G184" s="165"/>
      <c r="H184" s="165"/>
      <c r="I184" s="165"/>
      <c r="J184" s="165"/>
    </row>
    <row r="185" spans="1:10" ht="19.5" customHeight="1">
      <c r="A185" s="514" t="s">
        <v>1058</v>
      </c>
      <c r="B185" s="512"/>
      <c r="C185" s="512"/>
      <c r="D185" s="512"/>
      <c r="E185" s="512"/>
      <c r="F185" s="512"/>
      <c r="G185" s="512"/>
      <c r="H185" s="512"/>
      <c r="I185" s="512"/>
      <c r="J185" s="512"/>
    </row>
    <row r="186" spans="1:10" s="168" customFormat="1" ht="15" customHeight="1">
      <c r="A186" s="171"/>
      <c r="B186" s="515" t="s">
        <v>779</v>
      </c>
      <c r="C186" s="516"/>
      <c r="D186" s="516"/>
      <c r="E186" s="474">
        <v>335357</v>
      </c>
      <c r="F186" s="517">
        <v>0</v>
      </c>
      <c r="G186" s="517"/>
      <c r="H186" s="517"/>
      <c r="I186" s="171"/>
      <c r="J186" s="474">
        <v>335357</v>
      </c>
    </row>
    <row r="187" spans="1:10" ht="15" customHeight="1">
      <c r="A187" s="170"/>
      <c r="B187" s="511" t="s">
        <v>778</v>
      </c>
      <c r="C187" s="512"/>
      <c r="D187" s="512"/>
      <c r="E187" s="475">
        <v>327493</v>
      </c>
      <c r="F187" s="513">
        <v>0</v>
      </c>
      <c r="G187" s="513"/>
      <c r="H187" s="513"/>
      <c r="I187" s="170"/>
      <c r="J187" s="475">
        <v>327493</v>
      </c>
    </row>
    <row r="188" spans="1:10" ht="15" customHeight="1">
      <c r="A188" s="170"/>
      <c r="B188" s="511" t="s">
        <v>777</v>
      </c>
      <c r="C188" s="512"/>
      <c r="D188" s="512"/>
      <c r="E188" s="475">
        <v>7864</v>
      </c>
      <c r="F188" s="513">
        <v>0</v>
      </c>
      <c r="G188" s="513"/>
      <c r="H188" s="513"/>
      <c r="I188" s="170"/>
      <c r="J188" s="475">
        <v>7864</v>
      </c>
    </row>
    <row r="189" ht="9" customHeight="1"/>
    <row r="190" spans="1:10" ht="31.5" customHeight="1">
      <c r="A190" s="509" t="s">
        <v>1057</v>
      </c>
      <c r="B190" s="506"/>
      <c r="C190" s="506"/>
      <c r="D190" s="506"/>
      <c r="E190" s="506"/>
      <c r="F190" s="506"/>
      <c r="G190" s="506"/>
      <c r="H190" s="506"/>
      <c r="I190" s="506"/>
      <c r="J190" s="506"/>
    </row>
    <row r="191" spans="1:10" ht="15" customHeight="1">
      <c r="A191" s="166"/>
      <c r="B191" s="505" t="s">
        <v>779</v>
      </c>
      <c r="C191" s="506"/>
      <c r="D191" s="506"/>
      <c r="E191" s="473">
        <v>4386616</v>
      </c>
      <c r="F191" s="507">
        <v>0</v>
      </c>
      <c r="G191" s="507"/>
      <c r="H191" s="507"/>
      <c r="I191" s="166"/>
      <c r="J191" s="473">
        <v>4386616</v>
      </c>
    </row>
    <row r="192" spans="1:10" ht="15" customHeight="1">
      <c r="A192" s="166"/>
      <c r="B192" s="505" t="s">
        <v>778</v>
      </c>
      <c r="C192" s="506"/>
      <c r="D192" s="506"/>
      <c r="E192" s="473">
        <v>4014255</v>
      </c>
      <c r="F192" s="507">
        <v>0</v>
      </c>
      <c r="G192" s="507"/>
      <c r="H192" s="507"/>
      <c r="I192" s="166"/>
      <c r="J192" s="473">
        <v>4014255</v>
      </c>
    </row>
    <row r="193" spans="1:10" ht="15" customHeight="1">
      <c r="A193" s="166"/>
      <c r="B193" s="505" t="s">
        <v>777</v>
      </c>
      <c r="C193" s="506"/>
      <c r="D193" s="506"/>
      <c r="E193" s="473">
        <v>368723</v>
      </c>
      <c r="F193" s="507">
        <v>0</v>
      </c>
      <c r="G193" s="507"/>
      <c r="H193" s="507"/>
      <c r="I193" s="166"/>
      <c r="J193" s="473">
        <v>368723</v>
      </c>
    </row>
    <row r="194" spans="1:10" ht="15" customHeight="1">
      <c r="A194" s="166"/>
      <c r="B194" s="505" t="s">
        <v>774</v>
      </c>
      <c r="C194" s="506"/>
      <c r="D194" s="506"/>
      <c r="E194" s="473">
        <v>2638</v>
      </c>
      <c r="F194" s="507">
        <v>0</v>
      </c>
      <c r="G194" s="507"/>
      <c r="H194" s="507"/>
      <c r="I194" s="166"/>
      <c r="J194" s="473">
        <v>2638</v>
      </c>
    </row>
    <row r="195" spans="1:10" ht="15" customHeight="1">
      <c r="A195" s="166"/>
      <c r="B195" s="505" t="s">
        <v>773</v>
      </c>
      <c r="C195" s="506"/>
      <c r="D195" s="506"/>
      <c r="E195" s="473">
        <v>1000</v>
      </c>
      <c r="F195" s="507">
        <v>0</v>
      </c>
      <c r="G195" s="507"/>
      <c r="H195" s="507"/>
      <c r="I195" s="166"/>
      <c r="J195" s="473">
        <v>1000</v>
      </c>
    </row>
    <row r="196" ht="9" customHeight="1"/>
    <row r="197" spans="1:10" ht="19.5" customHeight="1">
      <c r="A197" s="504" t="s">
        <v>1056</v>
      </c>
      <c r="B197" s="502"/>
      <c r="C197" s="502"/>
      <c r="D197" s="502"/>
      <c r="E197" s="502"/>
      <c r="F197" s="502"/>
      <c r="G197" s="502"/>
      <c r="H197" s="502"/>
      <c r="I197" s="502"/>
      <c r="J197" s="502"/>
    </row>
    <row r="198" spans="2:10" s="168" customFormat="1" ht="15" customHeight="1">
      <c r="B198" s="495" t="s">
        <v>779</v>
      </c>
      <c r="C198" s="496"/>
      <c r="D198" s="496"/>
      <c r="E198" s="169">
        <v>4386616</v>
      </c>
      <c r="F198" s="497">
        <v>0</v>
      </c>
      <c r="G198" s="497"/>
      <c r="H198" s="497"/>
      <c r="J198" s="169">
        <v>4386616</v>
      </c>
    </row>
    <row r="199" spans="2:10" ht="15" customHeight="1">
      <c r="B199" s="501" t="s">
        <v>778</v>
      </c>
      <c r="C199" s="502"/>
      <c r="D199" s="502"/>
      <c r="E199" s="164">
        <v>4014255</v>
      </c>
      <c r="F199" s="503">
        <v>0</v>
      </c>
      <c r="G199" s="503"/>
      <c r="H199" s="503"/>
      <c r="J199" s="164">
        <v>4014255</v>
      </c>
    </row>
    <row r="200" spans="2:10" ht="15" customHeight="1">
      <c r="B200" s="501" t="s">
        <v>777</v>
      </c>
      <c r="C200" s="502"/>
      <c r="D200" s="502"/>
      <c r="E200" s="164">
        <v>368723</v>
      </c>
      <c r="F200" s="503">
        <v>0</v>
      </c>
      <c r="G200" s="503"/>
      <c r="H200" s="503"/>
      <c r="J200" s="164">
        <v>368723</v>
      </c>
    </row>
    <row r="201" spans="2:10" ht="15" customHeight="1">
      <c r="B201" s="501" t="s">
        <v>774</v>
      </c>
      <c r="C201" s="502"/>
      <c r="D201" s="502"/>
      <c r="E201" s="164">
        <v>2638</v>
      </c>
      <c r="F201" s="503">
        <v>0</v>
      </c>
      <c r="G201" s="503"/>
      <c r="H201" s="503"/>
      <c r="J201" s="164">
        <v>2638</v>
      </c>
    </row>
    <row r="202" spans="2:10" ht="15" customHeight="1">
      <c r="B202" s="501" t="s">
        <v>773</v>
      </c>
      <c r="C202" s="502"/>
      <c r="D202" s="502"/>
      <c r="E202" s="164">
        <v>1000</v>
      </c>
      <c r="F202" s="503">
        <v>0</v>
      </c>
      <c r="G202" s="503"/>
      <c r="H202" s="503"/>
      <c r="J202" s="164">
        <v>1000</v>
      </c>
    </row>
    <row r="203" ht="9" customHeight="1"/>
    <row r="204" spans="1:10" ht="31.5" customHeight="1">
      <c r="A204" s="509" t="s">
        <v>1055</v>
      </c>
      <c r="B204" s="506"/>
      <c r="C204" s="506"/>
      <c r="D204" s="506"/>
      <c r="E204" s="506"/>
      <c r="F204" s="506"/>
      <c r="G204" s="506"/>
      <c r="H204" s="506"/>
      <c r="I204" s="506"/>
      <c r="J204" s="506"/>
    </row>
    <row r="205" spans="1:10" ht="15" customHeight="1">
      <c r="A205" s="166"/>
      <c r="B205" s="505" t="s">
        <v>779</v>
      </c>
      <c r="C205" s="506"/>
      <c r="D205" s="506"/>
      <c r="E205" s="473">
        <v>2054330</v>
      </c>
      <c r="F205" s="507">
        <v>0</v>
      </c>
      <c r="G205" s="507"/>
      <c r="H205" s="507"/>
      <c r="I205" s="166"/>
      <c r="J205" s="473">
        <v>2054330</v>
      </c>
    </row>
    <row r="206" spans="1:10" ht="15" customHeight="1">
      <c r="A206" s="166"/>
      <c r="B206" s="505" t="s">
        <v>778</v>
      </c>
      <c r="C206" s="506"/>
      <c r="D206" s="506"/>
      <c r="E206" s="473">
        <v>803090</v>
      </c>
      <c r="F206" s="507">
        <v>0</v>
      </c>
      <c r="G206" s="507"/>
      <c r="H206" s="507"/>
      <c r="I206" s="166"/>
      <c r="J206" s="473">
        <v>803090</v>
      </c>
    </row>
    <row r="207" spans="1:10" ht="15" customHeight="1">
      <c r="A207" s="166"/>
      <c r="B207" s="505" t="s">
        <v>777</v>
      </c>
      <c r="C207" s="506"/>
      <c r="D207" s="506"/>
      <c r="E207" s="473">
        <v>1082847</v>
      </c>
      <c r="F207" s="507">
        <v>0</v>
      </c>
      <c r="G207" s="507"/>
      <c r="H207" s="507"/>
      <c r="I207" s="166"/>
      <c r="J207" s="473">
        <v>1082847</v>
      </c>
    </row>
    <row r="208" spans="1:10" ht="15" customHeight="1">
      <c r="A208" s="166"/>
      <c r="B208" s="505" t="s">
        <v>774</v>
      </c>
      <c r="C208" s="506"/>
      <c r="D208" s="506"/>
      <c r="E208" s="473">
        <v>168393</v>
      </c>
      <c r="F208" s="507">
        <v>0</v>
      </c>
      <c r="G208" s="507"/>
      <c r="H208" s="507"/>
      <c r="I208" s="166"/>
      <c r="J208" s="473">
        <v>168393</v>
      </c>
    </row>
    <row r="209" spans="1:10" ht="9" customHeight="1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</row>
    <row r="210" spans="1:10" ht="19.5" customHeight="1">
      <c r="A210" s="504" t="s">
        <v>827</v>
      </c>
      <c r="B210" s="502"/>
      <c r="C210" s="502"/>
      <c r="D210" s="502"/>
      <c r="E210" s="502"/>
      <c r="F210" s="502"/>
      <c r="G210" s="502"/>
      <c r="H210" s="502"/>
      <c r="I210" s="502"/>
      <c r="J210" s="502"/>
    </row>
    <row r="211" spans="2:10" s="168" customFormat="1" ht="15" customHeight="1">
      <c r="B211" s="495" t="s">
        <v>779</v>
      </c>
      <c r="C211" s="496"/>
      <c r="D211" s="496"/>
      <c r="E211" s="169">
        <v>855386</v>
      </c>
      <c r="F211" s="497">
        <v>0</v>
      </c>
      <c r="G211" s="497"/>
      <c r="H211" s="497"/>
      <c r="J211" s="169">
        <v>855386</v>
      </c>
    </row>
    <row r="212" spans="2:10" ht="15" customHeight="1">
      <c r="B212" s="501" t="s">
        <v>777</v>
      </c>
      <c r="C212" s="502"/>
      <c r="D212" s="502"/>
      <c r="E212" s="164">
        <v>787086</v>
      </c>
      <c r="F212" s="503">
        <v>0</v>
      </c>
      <c r="G212" s="503"/>
      <c r="H212" s="503"/>
      <c r="J212" s="164">
        <v>787086</v>
      </c>
    </row>
    <row r="213" spans="2:10" ht="15" customHeight="1">
      <c r="B213" s="501" t="s">
        <v>774</v>
      </c>
      <c r="C213" s="502"/>
      <c r="D213" s="502"/>
      <c r="E213" s="164">
        <v>68300</v>
      </c>
      <c r="F213" s="503">
        <v>0</v>
      </c>
      <c r="G213" s="503"/>
      <c r="H213" s="503"/>
      <c r="J213" s="164">
        <v>68300</v>
      </c>
    </row>
    <row r="214" ht="9" customHeight="1"/>
    <row r="215" spans="1:10" ht="19.5" customHeight="1">
      <c r="A215" s="504" t="s">
        <v>1054</v>
      </c>
      <c r="B215" s="502"/>
      <c r="C215" s="502"/>
      <c r="D215" s="502"/>
      <c r="E215" s="502"/>
      <c r="F215" s="502"/>
      <c r="G215" s="502"/>
      <c r="H215" s="502"/>
      <c r="I215" s="502"/>
      <c r="J215" s="502"/>
    </row>
    <row r="216" spans="2:10" s="168" customFormat="1" ht="15" customHeight="1">
      <c r="B216" s="495" t="s">
        <v>779</v>
      </c>
      <c r="C216" s="496"/>
      <c r="D216" s="496"/>
      <c r="E216" s="169">
        <v>656659</v>
      </c>
      <c r="F216" s="497">
        <v>0</v>
      </c>
      <c r="G216" s="497"/>
      <c r="H216" s="497"/>
      <c r="J216" s="169">
        <v>656659</v>
      </c>
    </row>
    <row r="217" spans="2:10" ht="15" customHeight="1">
      <c r="B217" s="501" t="s">
        <v>778</v>
      </c>
      <c r="C217" s="502"/>
      <c r="D217" s="502"/>
      <c r="E217" s="164">
        <v>557337</v>
      </c>
      <c r="F217" s="503">
        <v>0</v>
      </c>
      <c r="G217" s="503"/>
      <c r="H217" s="503"/>
      <c r="J217" s="164">
        <v>557337</v>
      </c>
    </row>
    <row r="218" spans="2:10" ht="15" customHeight="1">
      <c r="B218" s="501" t="s">
        <v>777</v>
      </c>
      <c r="C218" s="502"/>
      <c r="D218" s="502"/>
      <c r="E218" s="164">
        <v>99322</v>
      </c>
      <c r="F218" s="503">
        <v>0</v>
      </c>
      <c r="G218" s="503"/>
      <c r="H218" s="503"/>
      <c r="J218" s="164">
        <v>99322</v>
      </c>
    </row>
    <row r="219" ht="9" customHeight="1"/>
    <row r="220" spans="1:10" ht="31.5" customHeight="1">
      <c r="A220" s="504" t="s">
        <v>1053</v>
      </c>
      <c r="B220" s="502"/>
      <c r="C220" s="502"/>
      <c r="D220" s="502"/>
      <c r="E220" s="502"/>
      <c r="F220" s="502"/>
      <c r="G220" s="502"/>
      <c r="H220" s="502"/>
      <c r="I220" s="502"/>
      <c r="J220" s="502"/>
    </row>
    <row r="221" spans="2:10" s="168" customFormat="1" ht="15" customHeight="1">
      <c r="B221" s="495" t="s">
        <v>779</v>
      </c>
      <c r="C221" s="496"/>
      <c r="D221" s="496"/>
      <c r="E221" s="169">
        <v>149323</v>
      </c>
      <c r="F221" s="497">
        <v>0</v>
      </c>
      <c r="G221" s="497"/>
      <c r="H221" s="497"/>
      <c r="J221" s="169">
        <v>149323</v>
      </c>
    </row>
    <row r="222" spans="2:10" ht="15" customHeight="1">
      <c r="B222" s="501" t="s">
        <v>777</v>
      </c>
      <c r="C222" s="502"/>
      <c r="D222" s="502"/>
      <c r="E222" s="164">
        <v>130205</v>
      </c>
      <c r="F222" s="503">
        <v>0</v>
      </c>
      <c r="G222" s="503"/>
      <c r="H222" s="503"/>
      <c r="J222" s="164">
        <v>130205</v>
      </c>
    </row>
    <row r="223" spans="2:10" ht="15" customHeight="1">
      <c r="B223" s="501" t="s">
        <v>774</v>
      </c>
      <c r="C223" s="502"/>
      <c r="D223" s="502"/>
      <c r="E223" s="164">
        <v>19118</v>
      </c>
      <c r="F223" s="503">
        <v>0</v>
      </c>
      <c r="G223" s="503"/>
      <c r="H223" s="503"/>
      <c r="J223" s="164">
        <v>19118</v>
      </c>
    </row>
    <row r="224" ht="9" customHeight="1"/>
    <row r="225" spans="1:10" ht="15">
      <c r="A225" s="504" t="s">
        <v>826</v>
      </c>
      <c r="B225" s="502"/>
      <c r="C225" s="502"/>
      <c r="D225" s="502"/>
      <c r="E225" s="502"/>
      <c r="F225" s="502"/>
      <c r="G225" s="502"/>
      <c r="H225" s="502"/>
      <c r="I225" s="502"/>
      <c r="J225" s="502"/>
    </row>
    <row r="226" spans="2:10" s="168" customFormat="1" ht="15" customHeight="1">
      <c r="B226" s="495" t="s">
        <v>779</v>
      </c>
      <c r="C226" s="496"/>
      <c r="D226" s="496"/>
      <c r="E226" s="169">
        <v>191301</v>
      </c>
      <c r="F226" s="497">
        <v>0</v>
      </c>
      <c r="G226" s="497"/>
      <c r="H226" s="497"/>
      <c r="J226" s="169">
        <v>191301</v>
      </c>
    </row>
    <row r="227" spans="2:10" ht="15" customHeight="1">
      <c r="B227" s="501" t="s">
        <v>778</v>
      </c>
      <c r="C227" s="502"/>
      <c r="D227" s="502"/>
      <c r="E227" s="164">
        <v>178101</v>
      </c>
      <c r="F227" s="503">
        <v>0</v>
      </c>
      <c r="G227" s="503"/>
      <c r="H227" s="503"/>
      <c r="J227" s="164">
        <v>178101</v>
      </c>
    </row>
    <row r="228" spans="2:10" ht="15" customHeight="1">
      <c r="B228" s="501" t="s">
        <v>777</v>
      </c>
      <c r="C228" s="502"/>
      <c r="D228" s="502"/>
      <c r="E228" s="164">
        <v>13200</v>
      </c>
      <c r="F228" s="503">
        <v>0</v>
      </c>
      <c r="G228" s="503"/>
      <c r="H228" s="503"/>
      <c r="J228" s="164">
        <v>13200</v>
      </c>
    </row>
    <row r="229" ht="9" customHeight="1"/>
    <row r="230" spans="1:10" ht="15">
      <c r="A230" s="504" t="s">
        <v>1052</v>
      </c>
      <c r="B230" s="502"/>
      <c r="C230" s="502"/>
      <c r="D230" s="502"/>
      <c r="E230" s="502"/>
      <c r="F230" s="502"/>
      <c r="G230" s="502"/>
      <c r="H230" s="502"/>
      <c r="I230" s="502"/>
      <c r="J230" s="502"/>
    </row>
    <row r="231" spans="2:10" s="168" customFormat="1" ht="15" customHeight="1">
      <c r="B231" s="495" t="s">
        <v>779</v>
      </c>
      <c r="C231" s="496"/>
      <c r="D231" s="496"/>
      <c r="E231" s="169">
        <v>42264</v>
      </c>
      <c r="F231" s="497">
        <v>0</v>
      </c>
      <c r="G231" s="497"/>
      <c r="H231" s="497"/>
      <c r="J231" s="169">
        <v>42264</v>
      </c>
    </row>
    <row r="232" spans="2:10" ht="15" customHeight="1">
      <c r="B232" s="501" t="s">
        <v>778</v>
      </c>
      <c r="C232" s="502"/>
      <c r="D232" s="502"/>
      <c r="E232" s="164">
        <v>12330</v>
      </c>
      <c r="F232" s="503">
        <v>0</v>
      </c>
      <c r="G232" s="503"/>
      <c r="H232" s="503"/>
      <c r="J232" s="164">
        <v>12330</v>
      </c>
    </row>
    <row r="233" spans="2:10" ht="15" customHeight="1">
      <c r="B233" s="501" t="s">
        <v>777</v>
      </c>
      <c r="C233" s="502"/>
      <c r="D233" s="502"/>
      <c r="E233" s="164">
        <v>29934</v>
      </c>
      <c r="F233" s="503">
        <v>0</v>
      </c>
      <c r="G233" s="503"/>
      <c r="H233" s="503"/>
      <c r="J233" s="164">
        <v>29934</v>
      </c>
    </row>
    <row r="234" ht="9" customHeight="1"/>
    <row r="235" spans="1:10" ht="15">
      <c r="A235" s="504" t="s">
        <v>1051</v>
      </c>
      <c r="B235" s="502"/>
      <c r="C235" s="502"/>
      <c r="D235" s="502"/>
      <c r="E235" s="502"/>
      <c r="F235" s="502"/>
      <c r="G235" s="502"/>
      <c r="H235" s="502"/>
      <c r="I235" s="502"/>
      <c r="J235" s="502"/>
    </row>
    <row r="236" spans="2:10" s="168" customFormat="1" ht="15" customHeight="1">
      <c r="B236" s="495" t="s">
        <v>779</v>
      </c>
      <c r="C236" s="496"/>
      <c r="D236" s="496"/>
      <c r="E236" s="169">
        <v>159397</v>
      </c>
      <c r="F236" s="497">
        <v>0</v>
      </c>
      <c r="G236" s="497"/>
      <c r="H236" s="497"/>
      <c r="J236" s="169">
        <v>159397</v>
      </c>
    </row>
    <row r="237" spans="2:10" ht="15" customHeight="1">
      <c r="B237" s="501" t="s">
        <v>778</v>
      </c>
      <c r="C237" s="502"/>
      <c r="D237" s="502"/>
      <c r="E237" s="164">
        <v>55322</v>
      </c>
      <c r="F237" s="503">
        <v>0</v>
      </c>
      <c r="G237" s="503"/>
      <c r="H237" s="503"/>
      <c r="J237" s="164">
        <v>55322</v>
      </c>
    </row>
    <row r="238" spans="2:10" ht="15" customHeight="1">
      <c r="B238" s="501" t="s">
        <v>777</v>
      </c>
      <c r="C238" s="502"/>
      <c r="D238" s="502"/>
      <c r="E238" s="164">
        <v>23100</v>
      </c>
      <c r="F238" s="503">
        <v>0</v>
      </c>
      <c r="G238" s="503"/>
      <c r="H238" s="503"/>
      <c r="J238" s="164">
        <v>23100</v>
      </c>
    </row>
    <row r="239" spans="2:10" ht="15" customHeight="1">
      <c r="B239" s="501" t="s">
        <v>774</v>
      </c>
      <c r="C239" s="502"/>
      <c r="D239" s="502"/>
      <c r="E239" s="164">
        <v>80975</v>
      </c>
      <c r="F239" s="503">
        <v>0</v>
      </c>
      <c r="G239" s="503"/>
      <c r="H239" s="503"/>
      <c r="J239" s="164">
        <v>80975</v>
      </c>
    </row>
    <row r="240" ht="9" customHeight="1"/>
    <row r="241" spans="1:10" ht="31.5" customHeight="1">
      <c r="A241" s="509" t="s">
        <v>1050</v>
      </c>
      <c r="B241" s="506"/>
      <c r="C241" s="506"/>
      <c r="D241" s="506"/>
      <c r="E241" s="506"/>
      <c r="F241" s="506"/>
      <c r="G241" s="506"/>
      <c r="H241" s="506"/>
      <c r="I241" s="506"/>
      <c r="J241" s="506"/>
    </row>
    <row r="242" spans="1:10" ht="15" customHeight="1">
      <c r="A242" s="166"/>
      <c r="B242" s="505" t="s">
        <v>779</v>
      </c>
      <c r="C242" s="506"/>
      <c r="D242" s="506"/>
      <c r="E242" s="473">
        <v>734693</v>
      </c>
      <c r="F242" s="507">
        <v>0</v>
      </c>
      <c r="G242" s="507"/>
      <c r="H242" s="507"/>
      <c r="I242" s="166"/>
      <c r="J242" s="473">
        <v>734693</v>
      </c>
    </row>
    <row r="243" spans="1:10" ht="15" customHeight="1">
      <c r="A243" s="166"/>
      <c r="B243" s="505" t="s">
        <v>778</v>
      </c>
      <c r="C243" s="506"/>
      <c r="D243" s="506"/>
      <c r="E243" s="473">
        <v>529489</v>
      </c>
      <c r="F243" s="507">
        <v>0</v>
      </c>
      <c r="G243" s="507"/>
      <c r="H243" s="507"/>
      <c r="I243" s="166"/>
      <c r="J243" s="473">
        <v>529489</v>
      </c>
    </row>
    <row r="244" spans="1:10" ht="15" customHeight="1">
      <c r="A244" s="166"/>
      <c r="B244" s="505" t="s">
        <v>777</v>
      </c>
      <c r="C244" s="506"/>
      <c r="D244" s="506"/>
      <c r="E244" s="473">
        <v>205204</v>
      </c>
      <c r="F244" s="507">
        <v>-3000</v>
      </c>
      <c r="G244" s="508"/>
      <c r="H244" s="508"/>
      <c r="I244" s="166"/>
      <c r="J244" s="473">
        <v>202204</v>
      </c>
    </row>
    <row r="245" spans="1:10" ht="15" customHeight="1">
      <c r="A245" s="166"/>
      <c r="B245" s="505" t="s">
        <v>774</v>
      </c>
      <c r="C245" s="506"/>
      <c r="D245" s="506"/>
      <c r="E245" s="473">
        <v>0</v>
      </c>
      <c r="F245" s="507">
        <v>3000</v>
      </c>
      <c r="G245" s="508"/>
      <c r="H245" s="508"/>
      <c r="I245" s="166"/>
      <c r="J245" s="473">
        <v>3000</v>
      </c>
    </row>
    <row r="246" ht="9" customHeight="1"/>
    <row r="247" spans="1:10" ht="15">
      <c r="A247" s="504" t="s">
        <v>1049</v>
      </c>
      <c r="B247" s="502"/>
      <c r="C247" s="502"/>
      <c r="D247" s="502"/>
      <c r="E247" s="502"/>
      <c r="F247" s="502"/>
      <c r="G247" s="502"/>
      <c r="H247" s="502"/>
      <c r="I247" s="502"/>
      <c r="J247" s="502"/>
    </row>
    <row r="248" spans="2:10" s="168" customFormat="1" ht="15" customHeight="1">
      <c r="B248" s="495" t="s">
        <v>779</v>
      </c>
      <c r="C248" s="496"/>
      <c r="D248" s="496"/>
      <c r="E248" s="169">
        <v>734693</v>
      </c>
      <c r="F248" s="497">
        <v>0</v>
      </c>
      <c r="G248" s="497"/>
      <c r="H248" s="497"/>
      <c r="J248" s="169">
        <v>734693</v>
      </c>
    </row>
    <row r="249" spans="2:10" ht="15" customHeight="1">
      <c r="B249" s="501" t="s">
        <v>778</v>
      </c>
      <c r="C249" s="502"/>
      <c r="D249" s="502"/>
      <c r="E249" s="164">
        <v>529489</v>
      </c>
      <c r="F249" s="503">
        <v>0</v>
      </c>
      <c r="G249" s="503"/>
      <c r="H249" s="503"/>
      <c r="J249" s="164">
        <v>529489</v>
      </c>
    </row>
    <row r="250" spans="2:10" ht="15" customHeight="1">
      <c r="B250" s="501" t="s">
        <v>777</v>
      </c>
      <c r="C250" s="502"/>
      <c r="D250" s="502"/>
      <c r="E250" s="164">
        <v>205204</v>
      </c>
      <c r="F250" s="503">
        <v>-3000</v>
      </c>
      <c r="G250" s="499"/>
      <c r="H250" s="499"/>
      <c r="J250" s="164">
        <v>202204</v>
      </c>
    </row>
    <row r="251" spans="2:10" ht="15" customHeight="1">
      <c r="B251" s="501" t="s">
        <v>774</v>
      </c>
      <c r="C251" s="502"/>
      <c r="D251" s="502"/>
      <c r="E251" s="164">
        <v>0</v>
      </c>
      <c r="F251" s="503">
        <v>3000</v>
      </c>
      <c r="G251" s="499"/>
      <c r="H251" s="499"/>
      <c r="J251" s="164">
        <v>3000</v>
      </c>
    </row>
    <row r="252" ht="9" customHeight="1"/>
    <row r="253" spans="1:10" ht="19.5" customHeight="1">
      <c r="A253" s="509" t="s">
        <v>1048</v>
      </c>
      <c r="B253" s="510"/>
      <c r="C253" s="510"/>
      <c r="D253" s="510"/>
      <c r="E253" s="510"/>
      <c r="F253" s="510"/>
      <c r="G253" s="510"/>
      <c r="H253" s="510"/>
      <c r="I253" s="510"/>
      <c r="J253" s="510"/>
    </row>
    <row r="254" spans="1:10" ht="15" customHeight="1">
      <c r="A254" s="166"/>
      <c r="B254" s="505" t="s">
        <v>779</v>
      </c>
      <c r="C254" s="506"/>
      <c r="D254" s="506"/>
      <c r="E254" s="473">
        <v>14134603</v>
      </c>
      <c r="F254" s="507">
        <v>938100</v>
      </c>
      <c r="G254" s="508"/>
      <c r="H254" s="508"/>
      <c r="I254" s="166"/>
      <c r="J254" s="473">
        <v>15072703</v>
      </c>
    </row>
    <row r="255" spans="1:10" ht="15" customHeight="1">
      <c r="A255" s="166"/>
      <c r="B255" s="505" t="s">
        <v>778</v>
      </c>
      <c r="C255" s="506"/>
      <c r="D255" s="506"/>
      <c r="E255" s="473">
        <v>1110402</v>
      </c>
      <c r="F255" s="507">
        <v>0</v>
      </c>
      <c r="G255" s="507"/>
      <c r="H255" s="507"/>
      <c r="I255" s="166"/>
      <c r="J255" s="473">
        <v>1110402</v>
      </c>
    </row>
    <row r="256" spans="1:10" ht="15" customHeight="1">
      <c r="A256" s="166"/>
      <c r="B256" s="505" t="s">
        <v>777</v>
      </c>
      <c r="C256" s="506"/>
      <c r="D256" s="506"/>
      <c r="E256" s="473">
        <v>6088446</v>
      </c>
      <c r="F256" s="507">
        <v>0</v>
      </c>
      <c r="G256" s="507"/>
      <c r="H256" s="507"/>
      <c r="I256" s="166"/>
      <c r="J256" s="473">
        <v>6088446</v>
      </c>
    </row>
    <row r="257" spans="1:10" ht="15" customHeight="1">
      <c r="A257" s="166"/>
      <c r="B257" s="505" t="s">
        <v>776</v>
      </c>
      <c r="C257" s="506"/>
      <c r="D257" s="506"/>
      <c r="E257" s="473">
        <v>100000</v>
      </c>
      <c r="F257" s="507">
        <v>0</v>
      </c>
      <c r="G257" s="507"/>
      <c r="H257" s="507"/>
      <c r="I257" s="166"/>
      <c r="J257" s="473">
        <v>100000</v>
      </c>
    </row>
    <row r="258" spans="1:10" ht="15" customHeight="1">
      <c r="A258" s="166"/>
      <c r="B258" s="505" t="s">
        <v>774</v>
      </c>
      <c r="C258" s="506"/>
      <c r="D258" s="506"/>
      <c r="E258" s="473">
        <v>6800560</v>
      </c>
      <c r="F258" s="507">
        <v>938100</v>
      </c>
      <c r="G258" s="508"/>
      <c r="H258" s="508"/>
      <c r="I258" s="166"/>
      <c r="J258" s="473">
        <v>7738660</v>
      </c>
    </row>
    <row r="259" spans="1:10" ht="15" customHeight="1">
      <c r="A259" s="166"/>
      <c r="B259" s="505" t="s">
        <v>773</v>
      </c>
      <c r="C259" s="506"/>
      <c r="D259" s="506"/>
      <c r="E259" s="473">
        <v>35195</v>
      </c>
      <c r="F259" s="507">
        <v>0</v>
      </c>
      <c r="G259" s="507"/>
      <c r="H259" s="507"/>
      <c r="I259" s="166"/>
      <c r="J259" s="473">
        <v>35195</v>
      </c>
    </row>
    <row r="260" ht="9" customHeight="1"/>
    <row r="261" spans="1:10" ht="19.5" customHeight="1">
      <c r="A261" s="504" t="s">
        <v>825</v>
      </c>
      <c r="B261" s="502"/>
      <c r="C261" s="502"/>
      <c r="D261" s="502"/>
      <c r="E261" s="502"/>
      <c r="F261" s="502"/>
      <c r="G261" s="502"/>
      <c r="H261" s="502"/>
      <c r="I261" s="502"/>
      <c r="J261" s="502"/>
    </row>
    <row r="262" spans="2:10" s="168" customFormat="1" ht="15" customHeight="1">
      <c r="B262" s="495" t="s">
        <v>779</v>
      </c>
      <c r="C262" s="496"/>
      <c r="D262" s="496"/>
      <c r="E262" s="169">
        <v>2104101</v>
      </c>
      <c r="F262" s="497">
        <v>0</v>
      </c>
      <c r="G262" s="497"/>
      <c r="H262" s="497"/>
      <c r="J262" s="169">
        <v>2104101</v>
      </c>
    </row>
    <row r="263" spans="2:10" ht="15" customHeight="1">
      <c r="B263" s="501" t="s">
        <v>778</v>
      </c>
      <c r="C263" s="502"/>
      <c r="D263" s="502"/>
      <c r="E263" s="164">
        <v>116239</v>
      </c>
      <c r="F263" s="503">
        <v>0</v>
      </c>
      <c r="G263" s="503"/>
      <c r="H263" s="503"/>
      <c r="J263" s="164">
        <v>116239</v>
      </c>
    </row>
    <row r="264" spans="2:10" ht="15" customHeight="1">
      <c r="B264" s="501" t="s">
        <v>777</v>
      </c>
      <c r="C264" s="502"/>
      <c r="D264" s="502"/>
      <c r="E264" s="164">
        <v>1739267</v>
      </c>
      <c r="F264" s="503">
        <v>0</v>
      </c>
      <c r="G264" s="503"/>
      <c r="H264" s="503"/>
      <c r="J264" s="164">
        <v>1739267</v>
      </c>
    </row>
    <row r="265" spans="2:10" ht="15" customHeight="1">
      <c r="B265" s="501" t="s">
        <v>774</v>
      </c>
      <c r="C265" s="502"/>
      <c r="D265" s="502"/>
      <c r="E265" s="164">
        <v>248595</v>
      </c>
      <c r="F265" s="503">
        <v>0</v>
      </c>
      <c r="G265" s="503"/>
      <c r="H265" s="503"/>
      <c r="J265" s="164">
        <v>248595</v>
      </c>
    </row>
    <row r="266" ht="9" customHeight="1"/>
    <row r="267" spans="1:10" ht="19.5" customHeight="1">
      <c r="A267" s="504" t="s">
        <v>1047</v>
      </c>
      <c r="B267" s="502"/>
      <c r="C267" s="502"/>
      <c r="D267" s="502"/>
      <c r="E267" s="502"/>
      <c r="F267" s="502"/>
      <c r="G267" s="502"/>
      <c r="H267" s="502"/>
      <c r="I267" s="502"/>
      <c r="J267" s="502"/>
    </row>
    <row r="268" spans="2:10" s="168" customFormat="1" ht="15" customHeight="1">
      <c r="B268" s="495" t="s">
        <v>779</v>
      </c>
      <c r="C268" s="496"/>
      <c r="D268" s="496"/>
      <c r="E268" s="169">
        <v>789195</v>
      </c>
      <c r="F268" s="497">
        <v>0</v>
      </c>
      <c r="G268" s="497"/>
      <c r="H268" s="497"/>
      <c r="J268" s="169">
        <v>789195</v>
      </c>
    </row>
    <row r="269" spans="2:10" ht="15" customHeight="1">
      <c r="B269" s="501" t="s">
        <v>774</v>
      </c>
      <c r="C269" s="502"/>
      <c r="D269" s="502"/>
      <c r="E269" s="164">
        <v>789195</v>
      </c>
      <c r="F269" s="503">
        <v>0</v>
      </c>
      <c r="G269" s="503"/>
      <c r="H269" s="503"/>
      <c r="J269" s="164">
        <v>789195</v>
      </c>
    </row>
    <row r="270" ht="9" customHeight="1"/>
    <row r="271" spans="1:10" ht="19.5" customHeight="1">
      <c r="A271" s="504" t="s">
        <v>1046</v>
      </c>
      <c r="B271" s="502"/>
      <c r="C271" s="502"/>
      <c r="D271" s="502"/>
      <c r="E271" s="502"/>
      <c r="F271" s="502"/>
      <c r="G271" s="502"/>
      <c r="H271" s="502"/>
      <c r="I271" s="502"/>
      <c r="J271" s="502"/>
    </row>
    <row r="272" spans="2:10" s="168" customFormat="1" ht="15" customHeight="1">
      <c r="B272" s="495" t="s">
        <v>779</v>
      </c>
      <c r="C272" s="496"/>
      <c r="D272" s="496"/>
      <c r="E272" s="169">
        <v>4830019</v>
      </c>
      <c r="F272" s="497">
        <v>0</v>
      </c>
      <c r="G272" s="497"/>
      <c r="H272" s="497"/>
      <c r="J272" s="169">
        <v>4830019</v>
      </c>
    </row>
    <row r="273" spans="2:10" ht="15" customHeight="1">
      <c r="B273" s="501" t="s">
        <v>774</v>
      </c>
      <c r="C273" s="502"/>
      <c r="D273" s="502"/>
      <c r="E273" s="164">
        <v>4830019</v>
      </c>
      <c r="F273" s="503">
        <v>0</v>
      </c>
      <c r="G273" s="503"/>
      <c r="H273" s="503"/>
      <c r="J273" s="164">
        <v>4830019</v>
      </c>
    </row>
    <row r="274" ht="9" customHeight="1"/>
    <row r="275" spans="1:10" ht="31.5" customHeight="1">
      <c r="A275" s="504" t="s">
        <v>1045</v>
      </c>
      <c r="B275" s="502"/>
      <c r="C275" s="502"/>
      <c r="D275" s="502"/>
      <c r="E275" s="502"/>
      <c r="F275" s="502"/>
      <c r="G275" s="502"/>
      <c r="H275" s="502"/>
      <c r="I275" s="502"/>
      <c r="J275" s="502"/>
    </row>
    <row r="276" spans="2:10" s="168" customFormat="1" ht="15" customHeight="1">
      <c r="B276" s="495" t="s">
        <v>779</v>
      </c>
      <c r="C276" s="496"/>
      <c r="D276" s="496"/>
      <c r="E276" s="169">
        <v>100188</v>
      </c>
      <c r="F276" s="497">
        <v>0</v>
      </c>
      <c r="G276" s="497"/>
      <c r="H276" s="497"/>
      <c r="J276" s="169">
        <v>100188</v>
      </c>
    </row>
    <row r="277" spans="2:10" ht="15" customHeight="1">
      <c r="B277" s="501" t="s">
        <v>774</v>
      </c>
      <c r="C277" s="502"/>
      <c r="D277" s="502"/>
      <c r="E277" s="164">
        <v>100188</v>
      </c>
      <c r="F277" s="503">
        <v>0</v>
      </c>
      <c r="G277" s="503"/>
      <c r="H277" s="503"/>
      <c r="J277" s="164">
        <v>100188</v>
      </c>
    </row>
    <row r="278" ht="9" customHeight="1"/>
    <row r="279" spans="1:10" ht="19.5" customHeight="1">
      <c r="A279" s="504" t="s">
        <v>1044</v>
      </c>
      <c r="B279" s="502"/>
      <c r="C279" s="502"/>
      <c r="D279" s="502"/>
      <c r="E279" s="502"/>
      <c r="F279" s="502"/>
      <c r="G279" s="502"/>
      <c r="H279" s="502"/>
      <c r="I279" s="502"/>
      <c r="J279" s="502"/>
    </row>
    <row r="280" spans="2:10" s="168" customFormat="1" ht="15" customHeight="1">
      <c r="B280" s="495" t="s">
        <v>779</v>
      </c>
      <c r="C280" s="496"/>
      <c r="D280" s="496"/>
      <c r="E280" s="169">
        <v>231931</v>
      </c>
      <c r="F280" s="497">
        <v>0</v>
      </c>
      <c r="G280" s="497"/>
      <c r="H280" s="497"/>
      <c r="J280" s="169">
        <v>231931</v>
      </c>
    </row>
    <row r="281" spans="2:10" ht="15" customHeight="1">
      <c r="B281" s="501" t="s">
        <v>774</v>
      </c>
      <c r="C281" s="502"/>
      <c r="D281" s="502"/>
      <c r="E281" s="164">
        <v>231931</v>
      </c>
      <c r="F281" s="503">
        <v>0</v>
      </c>
      <c r="G281" s="503"/>
      <c r="H281" s="503"/>
      <c r="J281" s="164">
        <v>231931</v>
      </c>
    </row>
    <row r="282" ht="9" customHeight="1"/>
    <row r="283" spans="1:10" ht="36" customHeight="1">
      <c r="A283" s="504" t="s">
        <v>1043</v>
      </c>
      <c r="B283" s="502"/>
      <c r="C283" s="502"/>
      <c r="D283" s="502"/>
      <c r="E283" s="502"/>
      <c r="F283" s="502"/>
      <c r="G283" s="502"/>
      <c r="H283" s="502"/>
      <c r="I283" s="502"/>
      <c r="J283" s="502"/>
    </row>
    <row r="284" spans="2:10" s="168" customFormat="1" ht="15" customHeight="1">
      <c r="B284" s="495" t="s">
        <v>779</v>
      </c>
      <c r="C284" s="496"/>
      <c r="D284" s="496"/>
      <c r="E284" s="169">
        <v>0</v>
      </c>
      <c r="F284" s="497">
        <v>933400</v>
      </c>
      <c r="G284" s="500"/>
      <c r="H284" s="500"/>
      <c r="J284" s="169">
        <v>933400</v>
      </c>
    </row>
    <row r="285" spans="2:10" ht="15" customHeight="1">
      <c r="B285" s="501" t="s">
        <v>774</v>
      </c>
      <c r="C285" s="502"/>
      <c r="D285" s="502"/>
      <c r="E285" s="164">
        <v>0</v>
      </c>
      <c r="F285" s="503">
        <v>933400</v>
      </c>
      <c r="G285" s="499"/>
      <c r="H285" s="499"/>
      <c r="J285" s="164">
        <v>933400</v>
      </c>
    </row>
    <row r="286" ht="9" customHeight="1"/>
    <row r="287" spans="1:10" ht="19.5" customHeight="1">
      <c r="A287" s="504" t="s">
        <v>824</v>
      </c>
      <c r="B287" s="502"/>
      <c r="C287" s="502"/>
      <c r="D287" s="502"/>
      <c r="E287" s="502"/>
      <c r="F287" s="502"/>
      <c r="G287" s="502"/>
      <c r="H287" s="502"/>
      <c r="I287" s="502"/>
      <c r="J287" s="502"/>
    </row>
    <row r="288" spans="2:10" s="168" customFormat="1" ht="15" customHeight="1">
      <c r="B288" s="495" t="s">
        <v>779</v>
      </c>
      <c r="C288" s="496"/>
      <c r="D288" s="496"/>
      <c r="E288" s="169">
        <v>1471639</v>
      </c>
      <c r="F288" s="497">
        <v>0</v>
      </c>
      <c r="G288" s="497"/>
      <c r="H288" s="497"/>
      <c r="J288" s="169">
        <v>1471639</v>
      </c>
    </row>
    <row r="289" spans="2:10" ht="15" customHeight="1">
      <c r="B289" s="501" t="s">
        <v>777</v>
      </c>
      <c r="C289" s="502"/>
      <c r="D289" s="502"/>
      <c r="E289" s="164">
        <v>1471639</v>
      </c>
      <c r="F289" s="503">
        <v>0</v>
      </c>
      <c r="G289" s="503"/>
      <c r="H289" s="503"/>
      <c r="J289" s="164">
        <v>1471639</v>
      </c>
    </row>
    <row r="290" ht="9" customHeight="1"/>
    <row r="291" spans="1:10" ht="19.5" customHeight="1">
      <c r="A291" s="504" t="s">
        <v>823</v>
      </c>
      <c r="B291" s="502"/>
      <c r="C291" s="502"/>
      <c r="D291" s="502"/>
      <c r="E291" s="502"/>
      <c r="F291" s="502"/>
      <c r="G291" s="502"/>
      <c r="H291" s="502"/>
      <c r="I291" s="502"/>
      <c r="J291" s="502"/>
    </row>
    <row r="292" spans="2:10" s="168" customFormat="1" ht="15" customHeight="1">
      <c r="B292" s="495" t="s">
        <v>779</v>
      </c>
      <c r="C292" s="496"/>
      <c r="D292" s="496"/>
      <c r="E292" s="169">
        <v>467510</v>
      </c>
      <c r="F292" s="497">
        <v>0</v>
      </c>
      <c r="G292" s="497"/>
      <c r="H292" s="497"/>
      <c r="J292" s="169">
        <v>467510</v>
      </c>
    </row>
    <row r="293" spans="2:10" ht="15" customHeight="1">
      <c r="B293" s="501" t="s">
        <v>777</v>
      </c>
      <c r="C293" s="502"/>
      <c r="D293" s="502"/>
      <c r="E293" s="164">
        <v>467510</v>
      </c>
      <c r="F293" s="503">
        <v>0</v>
      </c>
      <c r="G293" s="503"/>
      <c r="H293" s="503"/>
      <c r="J293" s="164">
        <v>467510</v>
      </c>
    </row>
    <row r="294" ht="9" customHeight="1"/>
    <row r="295" spans="1:10" ht="15">
      <c r="A295" s="504" t="s">
        <v>822</v>
      </c>
      <c r="B295" s="502"/>
      <c r="C295" s="502"/>
      <c r="D295" s="502"/>
      <c r="E295" s="502"/>
      <c r="F295" s="502"/>
      <c r="G295" s="502"/>
      <c r="H295" s="502"/>
      <c r="I295" s="502"/>
      <c r="J295" s="502"/>
    </row>
    <row r="296" spans="2:10" s="168" customFormat="1" ht="15" customHeight="1">
      <c r="B296" s="495" t="s">
        <v>779</v>
      </c>
      <c r="C296" s="496"/>
      <c r="D296" s="496"/>
      <c r="E296" s="169">
        <v>642155</v>
      </c>
      <c r="F296" s="497">
        <v>0</v>
      </c>
      <c r="G296" s="497"/>
      <c r="H296" s="497"/>
      <c r="J296" s="169">
        <v>642155</v>
      </c>
    </row>
    <row r="297" spans="2:10" ht="15" customHeight="1">
      <c r="B297" s="501" t="s">
        <v>777</v>
      </c>
      <c r="C297" s="502"/>
      <c r="D297" s="502"/>
      <c r="E297" s="164">
        <v>641005</v>
      </c>
      <c r="F297" s="503">
        <v>0</v>
      </c>
      <c r="G297" s="503"/>
      <c r="H297" s="503"/>
      <c r="J297" s="164">
        <v>641005</v>
      </c>
    </row>
    <row r="298" spans="2:10" ht="15" customHeight="1">
      <c r="B298" s="501" t="s">
        <v>774</v>
      </c>
      <c r="C298" s="502"/>
      <c r="D298" s="502"/>
      <c r="E298" s="164">
        <v>1150</v>
      </c>
      <c r="F298" s="503">
        <v>0</v>
      </c>
      <c r="G298" s="503"/>
      <c r="H298" s="503"/>
      <c r="J298" s="164">
        <v>1150</v>
      </c>
    </row>
    <row r="299" ht="9" customHeight="1"/>
    <row r="300" spans="1:10" ht="32.25" customHeight="1">
      <c r="A300" s="504" t="s">
        <v>1042</v>
      </c>
      <c r="B300" s="502"/>
      <c r="C300" s="502"/>
      <c r="D300" s="502"/>
      <c r="E300" s="502"/>
      <c r="F300" s="502"/>
      <c r="G300" s="502"/>
      <c r="H300" s="502"/>
      <c r="I300" s="502"/>
      <c r="J300" s="502"/>
    </row>
    <row r="301" spans="2:10" s="168" customFormat="1" ht="15" customHeight="1">
      <c r="B301" s="495" t="s">
        <v>779</v>
      </c>
      <c r="C301" s="496"/>
      <c r="D301" s="496"/>
      <c r="E301" s="169">
        <v>479459</v>
      </c>
      <c r="F301" s="497">
        <v>0</v>
      </c>
      <c r="G301" s="497"/>
      <c r="H301" s="497"/>
      <c r="J301" s="169">
        <v>479459</v>
      </c>
    </row>
    <row r="302" spans="2:10" ht="15" customHeight="1">
      <c r="B302" s="501" t="s">
        <v>774</v>
      </c>
      <c r="C302" s="502"/>
      <c r="D302" s="502"/>
      <c r="E302" s="164">
        <v>479459</v>
      </c>
      <c r="F302" s="503">
        <v>0</v>
      </c>
      <c r="G302" s="503"/>
      <c r="H302" s="503"/>
      <c r="J302" s="164">
        <v>479459</v>
      </c>
    </row>
    <row r="303" ht="9" customHeight="1"/>
    <row r="304" spans="1:10" ht="15">
      <c r="A304" s="504" t="s">
        <v>1041</v>
      </c>
      <c r="B304" s="502"/>
      <c r="C304" s="502"/>
      <c r="D304" s="502"/>
      <c r="E304" s="502"/>
      <c r="F304" s="502"/>
      <c r="G304" s="502"/>
      <c r="H304" s="502"/>
      <c r="I304" s="502"/>
      <c r="J304" s="502"/>
    </row>
    <row r="305" spans="2:10" s="168" customFormat="1" ht="15" customHeight="1">
      <c r="B305" s="495" t="s">
        <v>779</v>
      </c>
      <c r="C305" s="496"/>
      <c r="D305" s="496"/>
      <c r="E305" s="169">
        <v>1133040</v>
      </c>
      <c r="F305" s="497">
        <v>0</v>
      </c>
      <c r="G305" s="497"/>
      <c r="H305" s="497"/>
      <c r="J305" s="169">
        <v>1133040</v>
      </c>
    </row>
    <row r="306" spans="2:10" ht="15" customHeight="1">
      <c r="B306" s="501" t="s">
        <v>778</v>
      </c>
      <c r="C306" s="502"/>
      <c r="D306" s="502"/>
      <c r="E306" s="164">
        <v>992963</v>
      </c>
      <c r="F306" s="503">
        <v>0</v>
      </c>
      <c r="G306" s="503"/>
      <c r="H306" s="503"/>
      <c r="J306" s="164">
        <v>992963</v>
      </c>
    </row>
    <row r="307" spans="2:10" ht="15" customHeight="1">
      <c r="B307" s="501" t="s">
        <v>777</v>
      </c>
      <c r="C307" s="502"/>
      <c r="D307" s="502"/>
      <c r="E307" s="164">
        <v>114759</v>
      </c>
      <c r="F307" s="503">
        <v>0</v>
      </c>
      <c r="G307" s="503"/>
      <c r="H307" s="503"/>
      <c r="J307" s="164">
        <v>114759</v>
      </c>
    </row>
    <row r="308" spans="2:10" ht="15" customHeight="1">
      <c r="B308" s="501" t="s">
        <v>774</v>
      </c>
      <c r="C308" s="502"/>
      <c r="D308" s="502"/>
      <c r="E308" s="164">
        <v>25318</v>
      </c>
      <c r="F308" s="503">
        <v>0</v>
      </c>
      <c r="G308" s="503"/>
      <c r="H308" s="503"/>
      <c r="J308" s="164">
        <v>25318</v>
      </c>
    </row>
    <row r="309" ht="9" customHeight="1"/>
    <row r="310" spans="1:10" ht="15">
      <c r="A310" s="504" t="s">
        <v>821</v>
      </c>
      <c r="B310" s="502"/>
      <c r="C310" s="502"/>
      <c r="D310" s="502"/>
      <c r="E310" s="502"/>
      <c r="F310" s="502"/>
      <c r="G310" s="502"/>
      <c r="H310" s="502"/>
      <c r="I310" s="502"/>
      <c r="J310" s="502"/>
    </row>
    <row r="311" spans="2:10" s="168" customFormat="1" ht="15" customHeight="1">
      <c r="B311" s="495" t="s">
        <v>779</v>
      </c>
      <c r="C311" s="496"/>
      <c r="D311" s="496"/>
      <c r="E311" s="169">
        <v>1829971</v>
      </c>
      <c r="F311" s="497">
        <v>4700</v>
      </c>
      <c r="G311" s="500"/>
      <c r="H311" s="500"/>
      <c r="J311" s="169">
        <v>1834671</v>
      </c>
    </row>
    <row r="312" spans="2:10" ht="15" customHeight="1">
      <c r="B312" s="501" t="s">
        <v>777</v>
      </c>
      <c r="C312" s="502"/>
      <c r="D312" s="502"/>
      <c r="E312" s="164">
        <v>1630466</v>
      </c>
      <c r="F312" s="503">
        <v>0</v>
      </c>
      <c r="G312" s="503"/>
      <c r="H312" s="503"/>
      <c r="J312" s="164">
        <v>1630466</v>
      </c>
    </row>
    <row r="313" spans="2:10" ht="15" customHeight="1">
      <c r="B313" s="501" t="s">
        <v>776</v>
      </c>
      <c r="C313" s="502"/>
      <c r="D313" s="502"/>
      <c r="E313" s="164">
        <v>100000</v>
      </c>
      <c r="F313" s="503">
        <v>0</v>
      </c>
      <c r="G313" s="503"/>
      <c r="H313" s="503"/>
      <c r="J313" s="164">
        <v>100000</v>
      </c>
    </row>
    <row r="314" spans="2:10" ht="15" customHeight="1">
      <c r="B314" s="501" t="s">
        <v>774</v>
      </c>
      <c r="C314" s="502"/>
      <c r="D314" s="502"/>
      <c r="E314" s="164">
        <v>94705</v>
      </c>
      <c r="F314" s="503">
        <v>4700</v>
      </c>
      <c r="G314" s="499"/>
      <c r="H314" s="499"/>
      <c r="J314" s="164">
        <v>99405</v>
      </c>
    </row>
    <row r="315" spans="2:10" ht="15" customHeight="1">
      <c r="B315" s="501" t="s">
        <v>773</v>
      </c>
      <c r="C315" s="502"/>
      <c r="D315" s="502"/>
      <c r="E315" s="164">
        <v>4800</v>
      </c>
      <c r="F315" s="503">
        <v>0</v>
      </c>
      <c r="G315" s="503"/>
      <c r="H315" s="503"/>
      <c r="J315" s="164">
        <v>4800</v>
      </c>
    </row>
    <row r="316" ht="9" customHeight="1"/>
    <row r="317" spans="1:10" ht="19.5" customHeight="1">
      <c r="A317" s="504" t="s">
        <v>820</v>
      </c>
      <c r="B317" s="502"/>
      <c r="C317" s="502"/>
      <c r="D317" s="502"/>
      <c r="E317" s="502"/>
      <c r="F317" s="502"/>
      <c r="G317" s="502"/>
      <c r="H317" s="502"/>
      <c r="I317" s="502"/>
      <c r="J317" s="502"/>
    </row>
    <row r="318" spans="2:10" s="168" customFormat="1" ht="15" customHeight="1">
      <c r="B318" s="495" t="s">
        <v>779</v>
      </c>
      <c r="C318" s="496"/>
      <c r="D318" s="496"/>
      <c r="E318" s="169">
        <v>55395</v>
      </c>
      <c r="F318" s="497">
        <v>0</v>
      </c>
      <c r="G318" s="497"/>
      <c r="H318" s="497"/>
      <c r="J318" s="169">
        <v>55395</v>
      </c>
    </row>
    <row r="319" spans="2:10" ht="15" customHeight="1">
      <c r="B319" s="501" t="s">
        <v>778</v>
      </c>
      <c r="C319" s="502"/>
      <c r="D319" s="502"/>
      <c r="E319" s="164">
        <v>1200</v>
      </c>
      <c r="F319" s="503">
        <v>0</v>
      </c>
      <c r="G319" s="503"/>
      <c r="H319" s="503"/>
      <c r="J319" s="164">
        <v>1200</v>
      </c>
    </row>
    <row r="320" spans="2:10" ht="15" customHeight="1">
      <c r="B320" s="501" t="s">
        <v>777</v>
      </c>
      <c r="C320" s="502"/>
      <c r="D320" s="502"/>
      <c r="E320" s="164">
        <v>23800</v>
      </c>
      <c r="F320" s="503">
        <v>0</v>
      </c>
      <c r="G320" s="503"/>
      <c r="H320" s="503"/>
      <c r="J320" s="164">
        <v>23800</v>
      </c>
    </row>
    <row r="321" spans="2:10" ht="15" customHeight="1">
      <c r="B321" s="501" t="s">
        <v>773</v>
      </c>
      <c r="C321" s="502"/>
      <c r="D321" s="502"/>
      <c r="E321" s="164">
        <v>30395</v>
      </c>
      <c r="F321" s="503">
        <v>0</v>
      </c>
      <c r="G321" s="503"/>
      <c r="H321" s="503"/>
      <c r="J321" s="164">
        <v>30395</v>
      </c>
    </row>
    <row r="322" ht="9" customHeight="1"/>
    <row r="323" spans="1:10" ht="18" customHeight="1">
      <c r="A323" s="509" t="s">
        <v>1040</v>
      </c>
      <c r="B323" s="506"/>
      <c r="C323" s="506"/>
      <c r="D323" s="506"/>
      <c r="E323" s="506"/>
      <c r="F323" s="506"/>
      <c r="G323" s="506"/>
      <c r="H323" s="506"/>
      <c r="I323" s="506"/>
      <c r="J323" s="506"/>
    </row>
    <row r="324" spans="1:10" ht="15" customHeight="1">
      <c r="A324" s="166"/>
      <c r="B324" s="505" t="s">
        <v>779</v>
      </c>
      <c r="C324" s="506"/>
      <c r="D324" s="506"/>
      <c r="E324" s="473">
        <v>4830366</v>
      </c>
      <c r="F324" s="507">
        <f>102049</f>
        <v>102049</v>
      </c>
      <c r="G324" s="507"/>
      <c r="H324" s="507"/>
      <c r="I324" s="166"/>
      <c r="J324" s="473">
        <f>4830366+102049</f>
        <v>4932415</v>
      </c>
    </row>
    <row r="325" spans="1:10" ht="15" customHeight="1">
      <c r="A325" s="166"/>
      <c r="B325" s="505" t="s">
        <v>778</v>
      </c>
      <c r="C325" s="506"/>
      <c r="D325" s="506"/>
      <c r="E325" s="473">
        <v>2128280</v>
      </c>
      <c r="F325" s="507">
        <f>102049</f>
        <v>102049</v>
      </c>
      <c r="G325" s="507"/>
      <c r="H325" s="507"/>
      <c r="I325" s="166"/>
      <c r="J325" s="473">
        <f>2128280+102049</f>
        <v>2230329</v>
      </c>
    </row>
    <row r="326" spans="1:10" ht="15" customHeight="1">
      <c r="A326" s="166"/>
      <c r="B326" s="505" t="s">
        <v>777</v>
      </c>
      <c r="C326" s="506"/>
      <c r="D326" s="506"/>
      <c r="E326" s="473">
        <v>1978521</v>
      </c>
      <c r="F326" s="507">
        <v>-932</v>
      </c>
      <c r="G326" s="508"/>
      <c r="H326" s="508"/>
      <c r="I326" s="166"/>
      <c r="J326" s="473">
        <v>1977589</v>
      </c>
    </row>
    <row r="327" spans="1:10" ht="15" customHeight="1">
      <c r="A327" s="166"/>
      <c r="B327" s="505" t="s">
        <v>776</v>
      </c>
      <c r="C327" s="506"/>
      <c r="D327" s="506"/>
      <c r="E327" s="473">
        <v>466202</v>
      </c>
      <c r="F327" s="507">
        <v>0</v>
      </c>
      <c r="G327" s="507"/>
      <c r="H327" s="507"/>
      <c r="I327" s="166"/>
      <c r="J327" s="473">
        <v>466202</v>
      </c>
    </row>
    <row r="328" spans="1:10" ht="15" customHeight="1">
      <c r="A328" s="166"/>
      <c r="B328" s="505" t="s">
        <v>774</v>
      </c>
      <c r="C328" s="506"/>
      <c r="D328" s="506"/>
      <c r="E328" s="473">
        <v>251363</v>
      </c>
      <c r="F328" s="507">
        <v>932</v>
      </c>
      <c r="G328" s="508"/>
      <c r="H328" s="508"/>
      <c r="I328" s="166"/>
      <c r="J328" s="473">
        <v>252295</v>
      </c>
    </row>
    <row r="329" spans="1:10" ht="15" customHeight="1">
      <c r="A329" s="166"/>
      <c r="B329" s="505" t="s">
        <v>773</v>
      </c>
      <c r="C329" s="506"/>
      <c r="D329" s="506"/>
      <c r="E329" s="473">
        <v>6000</v>
      </c>
      <c r="F329" s="507">
        <v>0</v>
      </c>
      <c r="G329" s="507"/>
      <c r="H329" s="507"/>
      <c r="I329" s="166"/>
      <c r="J329" s="473">
        <v>6000</v>
      </c>
    </row>
    <row r="330" ht="9" customHeight="1"/>
    <row r="331" spans="1:10" ht="15">
      <c r="A331" s="504" t="s">
        <v>1039</v>
      </c>
      <c r="B331" s="502"/>
      <c r="C331" s="502"/>
      <c r="D331" s="502"/>
      <c r="E331" s="502"/>
      <c r="F331" s="502"/>
      <c r="G331" s="502"/>
      <c r="H331" s="502"/>
      <c r="I331" s="502"/>
      <c r="J331" s="502"/>
    </row>
    <row r="332" spans="2:10" s="168" customFormat="1" ht="15" customHeight="1">
      <c r="B332" s="495" t="s">
        <v>779</v>
      </c>
      <c r="C332" s="496"/>
      <c r="D332" s="496"/>
      <c r="E332" s="169">
        <v>608271</v>
      </c>
      <c r="F332" s="497">
        <v>0</v>
      </c>
      <c r="G332" s="497"/>
      <c r="H332" s="497"/>
      <c r="J332" s="169">
        <v>608271</v>
      </c>
    </row>
    <row r="333" spans="2:10" ht="15" customHeight="1">
      <c r="B333" s="501" t="s">
        <v>778</v>
      </c>
      <c r="C333" s="502"/>
      <c r="D333" s="502"/>
      <c r="E333" s="164">
        <v>394571</v>
      </c>
      <c r="F333" s="503">
        <v>0</v>
      </c>
      <c r="G333" s="503"/>
      <c r="H333" s="503"/>
      <c r="J333" s="164">
        <v>394571</v>
      </c>
    </row>
    <row r="334" spans="2:10" ht="15" customHeight="1">
      <c r="B334" s="501" t="s">
        <v>777</v>
      </c>
      <c r="C334" s="502"/>
      <c r="D334" s="502"/>
      <c r="E334" s="164">
        <v>208155</v>
      </c>
      <c r="F334" s="503">
        <v>-932</v>
      </c>
      <c r="G334" s="499"/>
      <c r="H334" s="499"/>
      <c r="J334" s="164">
        <v>207223</v>
      </c>
    </row>
    <row r="335" spans="2:10" ht="15" customHeight="1">
      <c r="B335" s="501" t="s">
        <v>774</v>
      </c>
      <c r="C335" s="502"/>
      <c r="D335" s="502"/>
      <c r="E335" s="164">
        <v>5545</v>
      </c>
      <c r="F335" s="503">
        <v>932</v>
      </c>
      <c r="G335" s="499"/>
      <c r="H335" s="499"/>
      <c r="J335" s="164">
        <v>6477</v>
      </c>
    </row>
    <row r="336" ht="9" customHeight="1"/>
    <row r="337" spans="1:10" ht="19.5" customHeight="1">
      <c r="A337" s="504" t="s">
        <v>819</v>
      </c>
      <c r="B337" s="502"/>
      <c r="C337" s="502"/>
      <c r="D337" s="502"/>
      <c r="E337" s="502"/>
      <c r="F337" s="502"/>
      <c r="G337" s="502"/>
      <c r="H337" s="502"/>
      <c r="I337" s="502"/>
      <c r="J337" s="502"/>
    </row>
    <row r="338" spans="2:10" s="168" customFormat="1" ht="15" customHeight="1">
      <c r="B338" s="495" t="s">
        <v>779</v>
      </c>
      <c r="C338" s="496"/>
      <c r="D338" s="496"/>
      <c r="E338" s="169">
        <v>629800</v>
      </c>
      <c r="F338" s="497">
        <v>0</v>
      </c>
      <c r="G338" s="497"/>
      <c r="H338" s="497"/>
      <c r="J338" s="169">
        <v>629800</v>
      </c>
    </row>
    <row r="339" spans="2:10" ht="15" customHeight="1">
      <c r="B339" s="501" t="s">
        <v>777</v>
      </c>
      <c r="C339" s="502"/>
      <c r="D339" s="502"/>
      <c r="E339" s="164">
        <v>157598</v>
      </c>
      <c r="F339" s="503">
        <v>0</v>
      </c>
      <c r="G339" s="503"/>
      <c r="H339" s="503"/>
      <c r="J339" s="164">
        <v>157598</v>
      </c>
    </row>
    <row r="340" spans="2:10" ht="15" customHeight="1">
      <c r="B340" s="501" t="s">
        <v>776</v>
      </c>
      <c r="C340" s="502"/>
      <c r="D340" s="502"/>
      <c r="E340" s="164">
        <v>466202</v>
      </c>
      <c r="F340" s="503">
        <v>0</v>
      </c>
      <c r="G340" s="503"/>
      <c r="H340" s="503"/>
      <c r="J340" s="164">
        <v>466202</v>
      </c>
    </row>
    <row r="341" spans="2:10" ht="15" customHeight="1">
      <c r="B341" s="501" t="s">
        <v>773</v>
      </c>
      <c r="C341" s="502"/>
      <c r="D341" s="502"/>
      <c r="E341" s="164">
        <v>6000</v>
      </c>
      <c r="F341" s="503">
        <v>0</v>
      </c>
      <c r="G341" s="503"/>
      <c r="H341" s="503"/>
      <c r="J341" s="164">
        <v>6000</v>
      </c>
    </row>
    <row r="342" ht="9" customHeight="1"/>
    <row r="343" spans="1:10" ht="19.5" customHeight="1">
      <c r="A343" s="504" t="s">
        <v>818</v>
      </c>
      <c r="B343" s="502"/>
      <c r="C343" s="502"/>
      <c r="D343" s="502"/>
      <c r="E343" s="502"/>
      <c r="F343" s="502"/>
      <c r="G343" s="502"/>
      <c r="H343" s="502"/>
      <c r="I343" s="502"/>
      <c r="J343" s="502"/>
    </row>
    <row r="344" spans="2:10" s="168" customFormat="1" ht="15" customHeight="1">
      <c r="B344" s="495" t="s">
        <v>779</v>
      </c>
      <c r="C344" s="496"/>
      <c r="D344" s="496"/>
      <c r="E344" s="169">
        <v>3592295</v>
      </c>
      <c r="F344" s="497">
        <f>102049</f>
        <v>102049</v>
      </c>
      <c r="G344" s="497"/>
      <c r="H344" s="497"/>
      <c r="J344" s="169">
        <f>3592295+102049</f>
        <v>3694344</v>
      </c>
    </row>
    <row r="345" spans="2:10" ht="15" customHeight="1">
      <c r="B345" s="501" t="s">
        <v>778</v>
      </c>
      <c r="C345" s="502"/>
      <c r="D345" s="502"/>
      <c r="E345" s="164">
        <v>1733709</v>
      </c>
      <c r="F345" s="503">
        <f>102049</f>
        <v>102049</v>
      </c>
      <c r="G345" s="503"/>
      <c r="H345" s="503"/>
      <c r="J345" s="164">
        <f>1733709+102049</f>
        <v>1835758</v>
      </c>
    </row>
    <row r="346" spans="2:10" ht="15" customHeight="1">
      <c r="B346" s="501" t="s">
        <v>777</v>
      </c>
      <c r="C346" s="502"/>
      <c r="D346" s="502"/>
      <c r="E346" s="164">
        <v>1612768</v>
      </c>
      <c r="F346" s="503">
        <v>0</v>
      </c>
      <c r="G346" s="503"/>
      <c r="H346" s="503"/>
      <c r="J346" s="164">
        <v>1612768</v>
      </c>
    </row>
    <row r="347" spans="2:10" ht="15" customHeight="1">
      <c r="B347" s="501" t="s">
        <v>774</v>
      </c>
      <c r="C347" s="502"/>
      <c r="D347" s="502"/>
      <c r="E347" s="164">
        <v>245818</v>
      </c>
      <c r="F347" s="503">
        <v>0</v>
      </c>
      <c r="G347" s="503"/>
      <c r="H347" s="503"/>
      <c r="J347" s="164">
        <v>245818</v>
      </c>
    </row>
    <row r="348" ht="9" customHeight="1"/>
    <row r="349" spans="1:10" ht="19.5" customHeight="1" hidden="1">
      <c r="A349" s="504" t="s">
        <v>817</v>
      </c>
      <c r="B349" s="502"/>
      <c r="C349" s="502"/>
      <c r="D349" s="502"/>
      <c r="E349" s="502"/>
      <c r="F349" s="502"/>
      <c r="G349" s="502"/>
      <c r="H349" s="502"/>
      <c r="I349" s="502"/>
      <c r="J349" s="502"/>
    </row>
    <row r="350" spans="2:10" ht="15" customHeight="1" hidden="1">
      <c r="B350" s="501" t="s">
        <v>779</v>
      </c>
      <c r="C350" s="502"/>
      <c r="D350" s="502"/>
      <c r="E350" s="164">
        <v>1694052</v>
      </c>
      <c r="F350" s="503">
        <v>49319</v>
      </c>
      <c r="G350" s="503"/>
      <c r="H350" s="503"/>
      <c r="J350" s="164">
        <f>1694052+49319</f>
        <v>1743371</v>
      </c>
    </row>
    <row r="351" spans="2:10" ht="15" customHeight="1" hidden="1">
      <c r="B351" s="501" t="s">
        <v>778</v>
      </c>
      <c r="C351" s="502"/>
      <c r="D351" s="502"/>
      <c r="E351" s="164">
        <v>929638</v>
      </c>
      <c r="F351" s="503">
        <v>49319</v>
      </c>
      <c r="G351" s="503"/>
      <c r="H351" s="503"/>
      <c r="J351" s="164">
        <f>929638+49319</f>
        <v>978957</v>
      </c>
    </row>
    <row r="352" spans="2:10" ht="15" customHeight="1" hidden="1">
      <c r="B352" s="501" t="s">
        <v>777</v>
      </c>
      <c r="C352" s="502"/>
      <c r="D352" s="502"/>
      <c r="E352" s="164">
        <v>518596</v>
      </c>
      <c r="F352" s="503">
        <v>0</v>
      </c>
      <c r="G352" s="503"/>
      <c r="H352" s="503"/>
      <c r="J352" s="164">
        <v>518596</v>
      </c>
    </row>
    <row r="353" spans="2:10" ht="15" customHeight="1" hidden="1">
      <c r="B353" s="501" t="s">
        <v>774</v>
      </c>
      <c r="C353" s="502"/>
      <c r="D353" s="502"/>
      <c r="E353" s="164">
        <v>245818</v>
      </c>
      <c r="F353" s="503">
        <v>0</v>
      </c>
      <c r="G353" s="503"/>
      <c r="H353" s="503"/>
      <c r="J353" s="164">
        <v>245818</v>
      </c>
    </row>
    <row r="354" ht="9" customHeight="1" hidden="1"/>
    <row r="355" spans="1:10" ht="19.5" customHeight="1" hidden="1">
      <c r="A355" s="504" t="s">
        <v>816</v>
      </c>
      <c r="B355" s="502"/>
      <c r="C355" s="502"/>
      <c r="D355" s="502"/>
      <c r="E355" s="502"/>
      <c r="F355" s="502"/>
      <c r="G355" s="502"/>
      <c r="H355" s="502"/>
      <c r="I355" s="502"/>
      <c r="J355" s="502"/>
    </row>
    <row r="356" spans="2:10" ht="15" customHeight="1" hidden="1">
      <c r="B356" s="501" t="s">
        <v>779</v>
      </c>
      <c r="C356" s="502"/>
      <c r="D356" s="502"/>
      <c r="E356" s="164">
        <v>679142</v>
      </c>
      <c r="F356" s="503">
        <f>40370</f>
        <v>40370</v>
      </c>
      <c r="G356" s="503"/>
      <c r="H356" s="503"/>
      <c r="J356" s="164">
        <f>679142+40370</f>
        <v>719512</v>
      </c>
    </row>
    <row r="357" spans="2:10" ht="15" customHeight="1" hidden="1">
      <c r="B357" s="501" t="s">
        <v>778</v>
      </c>
      <c r="C357" s="502"/>
      <c r="D357" s="502"/>
      <c r="E357" s="164">
        <v>258380</v>
      </c>
      <c r="F357" s="503">
        <v>40370</v>
      </c>
      <c r="G357" s="503"/>
      <c r="H357" s="503"/>
      <c r="J357" s="164">
        <f>258380+40370</f>
        <v>298750</v>
      </c>
    </row>
    <row r="358" spans="2:10" ht="15" customHeight="1" hidden="1">
      <c r="B358" s="501" t="s">
        <v>777</v>
      </c>
      <c r="C358" s="502"/>
      <c r="D358" s="502"/>
      <c r="E358" s="164">
        <v>420762</v>
      </c>
      <c r="F358" s="503">
        <v>0</v>
      </c>
      <c r="G358" s="503"/>
      <c r="H358" s="503"/>
      <c r="J358" s="164">
        <v>420762</v>
      </c>
    </row>
    <row r="359" ht="9" customHeight="1" hidden="1"/>
    <row r="360" spans="1:10" ht="19.5" customHeight="1" hidden="1">
      <c r="A360" s="504" t="s">
        <v>815</v>
      </c>
      <c r="B360" s="502"/>
      <c r="C360" s="502"/>
      <c r="D360" s="502"/>
      <c r="E360" s="502"/>
      <c r="F360" s="502"/>
      <c r="G360" s="502"/>
      <c r="H360" s="502"/>
      <c r="I360" s="502"/>
      <c r="J360" s="502"/>
    </row>
    <row r="361" spans="2:10" ht="15" customHeight="1" hidden="1">
      <c r="B361" s="501" t="s">
        <v>779</v>
      </c>
      <c r="C361" s="502"/>
      <c r="D361" s="502"/>
      <c r="E361" s="164">
        <v>1219101</v>
      </c>
      <c r="F361" s="503">
        <v>12360</v>
      </c>
      <c r="G361" s="503"/>
      <c r="H361" s="503"/>
      <c r="J361" s="164">
        <f>1219101+12360</f>
        <v>1231461</v>
      </c>
    </row>
    <row r="362" spans="2:10" ht="15" customHeight="1" hidden="1">
      <c r="B362" s="501" t="s">
        <v>778</v>
      </c>
      <c r="C362" s="502"/>
      <c r="D362" s="502"/>
      <c r="E362" s="164">
        <v>545691</v>
      </c>
      <c r="F362" s="503">
        <v>12360</v>
      </c>
      <c r="G362" s="503"/>
      <c r="H362" s="503"/>
      <c r="J362" s="164">
        <f>545691+12360</f>
        <v>558051</v>
      </c>
    </row>
    <row r="363" spans="2:10" ht="15" customHeight="1" hidden="1">
      <c r="B363" s="501" t="s">
        <v>777</v>
      </c>
      <c r="C363" s="502"/>
      <c r="D363" s="502"/>
      <c r="E363" s="164">
        <v>673410</v>
      </c>
      <c r="F363" s="503">
        <v>0</v>
      </c>
      <c r="G363" s="503"/>
      <c r="H363" s="503"/>
      <c r="J363" s="164">
        <v>673410</v>
      </c>
    </row>
    <row r="364" ht="9" customHeight="1" hidden="1"/>
    <row r="365" spans="1:10" ht="31.5" customHeight="1">
      <c r="A365" s="509" t="s">
        <v>1038</v>
      </c>
      <c r="B365" s="506"/>
      <c r="C365" s="506"/>
      <c r="D365" s="506"/>
      <c r="E365" s="506"/>
      <c r="F365" s="506"/>
      <c r="G365" s="506"/>
      <c r="H365" s="506"/>
      <c r="I365" s="506"/>
      <c r="J365" s="506"/>
    </row>
    <row r="366" spans="1:10" ht="15" customHeight="1">
      <c r="A366" s="166"/>
      <c r="B366" s="505" t="s">
        <v>779</v>
      </c>
      <c r="C366" s="506"/>
      <c r="D366" s="506"/>
      <c r="E366" s="473">
        <v>919291</v>
      </c>
      <c r="F366" s="507">
        <v>133</v>
      </c>
      <c r="G366" s="508"/>
      <c r="H366" s="508"/>
      <c r="I366" s="166"/>
      <c r="J366" s="473">
        <v>919424</v>
      </c>
    </row>
    <row r="367" spans="1:10" ht="15" customHeight="1">
      <c r="A367" s="166"/>
      <c r="B367" s="505" t="s">
        <v>778</v>
      </c>
      <c r="C367" s="506"/>
      <c r="D367" s="506"/>
      <c r="E367" s="473">
        <v>763181</v>
      </c>
      <c r="F367" s="507">
        <v>-353</v>
      </c>
      <c r="G367" s="508"/>
      <c r="H367" s="508"/>
      <c r="I367" s="166"/>
      <c r="J367" s="473">
        <v>762828</v>
      </c>
    </row>
    <row r="368" spans="1:10" ht="15" customHeight="1">
      <c r="A368" s="166"/>
      <c r="B368" s="505" t="s">
        <v>777</v>
      </c>
      <c r="C368" s="506"/>
      <c r="D368" s="506"/>
      <c r="E368" s="473">
        <v>111183</v>
      </c>
      <c r="F368" s="507">
        <v>0</v>
      </c>
      <c r="G368" s="507"/>
      <c r="H368" s="507"/>
      <c r="I368" s="166"/>
      <c r="J368" s="473">
        <v>111183</v>
      </c>
    </row>
    <row r="369" spans="1:10" ht="15" customHeight="1">
      <c r="A369" s="166"/>
      <c r="B369" s="505" t="s">
        <v>774</v>
      </c>
      <c r="C369" s="506"/>
      <c r="D369" s="506"/>
      <c r="E369" s="473">
        <v>44927</v>
      </c>
      <c r="F369" s="507">
        <v>0</v>
      </c>
      <c r="G369" s="507"/>
      <c r="H369" s="507"/>
      <c r="I369" s="166"/>
      <c r="J369" s="473">
        <v>44927</v>
      </c>
    </row>
    <row r="370" spans="1:10" ht="30" customHeight="1">
      <c r="A370" s="166"/>
      <c r="B370" s="505" t="s">
        <v>772</v>
      </c>
      <c r="C370" s="506"/>
      <c r="D370" s="506"/>
      <c r="E370" s="473">
        <v>0</v>
      </c>
      <c r="F370" s="507">
        <v>486</v>
      </c>
      <c r="G370" s="508"/>
      <c r="H370" s="508"/>
      <c r="I370" s="166"/>
      <c r="J370" s="473">
        <v>486</v>
      </c>
    </row>
    <row r="371" ht="9" customHeight="1"/>
    <row r="372" spans="1:10" ht="19.5" customHeight="1">
      <c r="A372" s="504" t="s">
        <v>1037</v>
      </c>
      <c r="B372" s="502"/>
      <c r="C372" s="502"/>
      <c r="D372" s="502"/>
      <c r="E372" s="502"/>
      <c r="F372" s="502"/>
      <c r="G372" s="502"/>
      <c r="H372" s="502"/>
      <c r="I372" s="502"/>
      <c r="J372" s="502"/>
    </row>
    <row r="373" spans="2:10" s="168" customFormat="1" ht="15" customHeight="1">
      <c r="B373" s="495" t="s">
        <v>779</v>
      </c>
      <c r="C373" s="496"/>
      <c r="D373" s="496"/>
      <c r="E373" s="169">
        <v>919291</v>
      </c>
      <c r="F373" s="497">
        <v>133</v>
      </c>
      <c r="G373" s="500"/>
      <c r="H373" s="500"/>
      <c r="J373" s="169">
        <v>919424</v>
      </c>
    </row>
    <row r="374" spans="2:10" ht="15" customHeight="1">
      <c r="B374" s="501" t="s">
        <v>778</v>
      </c>
      <c r="C374" s="502"/>
      <c r="D374" s="502"/>
      <c r="E374" s="164">
        <v>763181</v>
      </c>
      <c r="F374" s="503">
        <v>-353</v>
      </c>
      <c r="G374" s="499"/>
      <c r="H374" s="499"/>
      <c r="J374" s="164">
        <v>762828</v>
      </c>
    </row>
    <row r="375" spans="2:10" ht="15" customHeight="1">
      <c r="B375" s="501" t="s">
        <v>777</v>
      </c>
      <c r="C375" s="502"/>
      <c r="D375" s="502"/>
      <c r="E375" s="164">
        <v>111183</v>
      </c>
      <c r="F375" s="503">
        <v>0</v>
      </c>
      <c r="G375" s="503"/>
      <c r="H375" s="503"/>
      <c r="J375" s="164">
        <v>111183</v>
      </c>
    </row>
    <row r="376" spans="2:10" ht="15" customHeight="1">
      <c r="B376" s="501" t="s">
        <v>774</v>
      </c>
      <c r="C376" s="502"/>
      <c r="D376" s="502"/>
      <c r="E376" s="164">
        <v>44927</v>
      </c>
      <c r="F376" s="503">
        <v>0</v>
      </c>
      <c r="G376" s="503"/>
      <c r="H376" s="503"/>
      <c r="J376" s="164">
        <v>44927</v>
      </c>
    </row>
    <row r="377" spans="2:10" ht="30" customHeight="1">
      <c r="B377" s="501" t="s">
        <v>772</v>
      </c>
      <c r="C377" s="502"/>
      <c r="D377" s="502"/>
      <c r="E377" s="164">
        <v>0</v>
      </c>
      <c r="F377" s="503">
        <v>486</v>
      </c>
      <c r="G377" s="499"/>
      <c r="H377" s="499"/>
      <c r="J377" s="164">
        <v>486</v>
      </c>
    </row>
    <row r="378" ht="9" customHeight="1"/>
    <row r="379" spans="1:10" ht="31.5" customHeight="1">
      <c r="A379" s="509" t="s">
        <v>1036</v>
      </c>
      <c r="B379" s="510"/>
      <c r="C379" s="510"/>
      <c r="D379" s="510"/>
      <c r="E379" s="510"/>
      <c r="F379" s="510"/>
      <c r="G379" s="510"/>
      <c r="H379" s="510"/>
      <c r="I379" s="510"/>
      <c r="J379" s="510"/>
    </row>
    <row r="380" spans="1:10" ht="15" customHeight="1">
      <c r="A380" s="165"/>
      <c r="B380" s="505" t="s">
        <v>779</v>
      </c>
      <c r="C380" s="506"/>
      <c r="D380" s="506"/>
      <c r="E380" s="473">
        <v>785193</v>
      </c>
      <c r="F380" s="507">
        <v>1000</v>
      </c>
      <c r="G380" s="508"/>
      <c r="H380" s="508"/>
      <c r="I380" s="166"/>
      <c r="J380" s="473">
        <v>786193</v>
      </c>
    </row>
    <row r="381" spans="1:10" ht="15" customHeight="1">
      <c r="A381" s="165"/>
      <c r="B381" s="505" t="s">
        <v>778</v>
      </c>
      <c r="C381" s="506"/>
      <c r="D381" s="506"/>
      <c r="E381" s="473">
        <v>682440</v>
      </c>
      <c r="F381" s="507">
        <v>0</v>
      </c>
      <c r="G381" s="507"/>
      <c r="H381" s="507"/>
      <c r="I381" s="166"/>
      <c r="J381" s="473">
        <v>682440</v>
      </c>
    </row>
    <row r="382" spans="1:10" ht="15" customHeight="1">
      <c r="A382" s="165"/>
      <c r="B382" s="505" t="s">
        <v>777</v>
      </c>
      <c r="C382" s="506"/>
      <c r="D382" s="506"/>
      <c r="E382" s="473">
        <v>102753</v>
      </c>
      <c r="F382" s="507">
        <v>1000</v>
      </c>
      <c r="G382" s="508"/>
      <c r="H382" s="508"/>
      <c r="I382" s="166"/>
      <c r="J382" s="473">
        <v>103753</v>
      </c>
    </row>
    <row r="383" ht="9" customHeight="1"/>
    <row r="384" spans="1:10" ht="19.5" customHeight="1">
      <c r="A384" s="504" t="s">
        <v>1035</v>
      </c>
      <c r="B384" s="502"/>
      <c r="C384" s="502"/>
      <c r="D384" s="502"/>
      <c r="E384" s="502"/>
      <c r="F384" s="502"/>
      <c r="G384" s="502"/>
      <c r="H384" s="502"/>
      <c r="I384" s="502"/>
      <c r="J384" s="502"/>
    </row>
    <row r="385" spans="2:10" s="168" customFormat="1" ht="15" customHeight="1">
      <c r="B385" s="495" t="s">
        <v>779</v>
      </c>
      <c r="C385" s="496"/>
      <c r="D385" s="496"/>
      <c r="E385" s="169">
        <v>785193</v>
      </c>
      <c r="F385" s="497">
        <v>1000</v>
      </c>
      <c r="G385" s="500"/>
      <c r="H385" s="500"/>
      <c r="J385" s="169">
        <v>786193</v>
      </c>
    </row>
    <row r="386" spans="2:10" ht="15" customHeight="1">
      <c r="B386" s="501" t="s">
        <v>778</v>
      </c>
      <c r="C386" s="502"/>
      <c r="D386" s="502"/>
      <c r="E386" s="164">
        <v>682440</v>
      </c>
      <c r="F386" s="503">
        <v>0</v>
      </c>
      <c r="G386" s="503"/>
      <c r="H386" s="503"/>
      <c r="J386" s="164">
        <v>682440</v>
      </c>
    </row>
    <row r="387" spans="2:10" ht="15" customHeight="1">
      <c r="B387" s="501" t="s">
        <v>777</v>
      </c>
      <c r="C387" s="502"/>
      <c r="D387" s="502"/>
      <c r="E387" s="164">
        <v>102753</v>
      </c>
      <c r="F387" s="503">
        <v>1000</v>
      </c>
      <c r="G387" s="499"/>
      <c r="H387" s="499"/>
      <c r="J387" s="164">
        <v>103753</v>
      </c>
    </row>
    <row r="388" ht="9" customHeight="1"/>
    <row r="389" spans="1:10" ht="19.5" customHeight="1">
      <c r="A389" s="509" t="s">
        <v>1034</v>
      </c>
      <c r="B389" s="506"/>
      <c r="C389" s="506"/>
      <c r="D389" s="506"/>
      <c r="E389" s="506"/>
      <c r="F389" s="506"/>
      <c r="G389" s="506"/>
      <c r="H389" s="506"/>
      <c r="I389" s="506"/>
      <c r="J389" s="506"/>
    </row>
    <row r="390" spans="1:10" ht="15" customHeight="1">
      <c r="A390" s="166"/>
      <c r="B390" s="505" t="s">
        <v>779</v>
      </c>
      <c r="C390" s="506"/>
      <c r="D390" s="506"/>
      <c r="E390" s="473">
        <v>3155108</v>
      </c>
      <c r="F390" s="507">
        <v>0</v>
      </c>
      <c r="G390" s="507"/>
      <c r="H390" s="507"/>
      <c r="I390" s="166"/>
      <c r="J390" s="473">
        <v>3155108</v>
      </c>
    </row>
    <row r="391" spans="1:10" ht="15" customHeight="1">
      <c r="A391" s="166"/>
      <c r="B391" s="505" t="s">
        <v>778</v>
      </c>
      <c r="C391" s="506"/>
      <c r="D391" s="506"/>
      <c r="E391" s="473">
        <v>1912695</v>
      </c>
      <c r="F391" s="507">
        <v>0</v>
      </c>
      <c r="G391" s="507"/>
      <c r="H391" s="507"/>
      <c r="I391" s="166"/>
      <c r="J391" s="473">
        <v>1912695</v>
      </c>
    </row>
    <row r="392" spans="1:10" ht="15" customHeight="1">
      <c r="A392" s="166"/>
      <c r="B392" s="505" t="s">
        <v>777</v>
      </c>
      <c r="C392" s="506"/>
      <c r="D392" s="506"/>
      <c r="E392" s="473">
        <v>1167230</v>
      </c>
      <c r="F392" s="507">
        <v>-180</v>
      </c>
      <c r="G392" s="508"/>
      <c r="H392" s="508"/>
      <c r="I392" s="166"/>
      <c r="J392" s="473">
        <v>1167050</v>
      </c>
    </row>
    <row r="393" spans="1:10" ht="15" customHeight="1">
      <c r="A393" s="166"/>
      <c r="B393" s="505" t="s">
        <v>776</v>
      </c>
      <c r="C393" s="506"/>
      <c r="D393" s="506"/>
      <c r="E393" s="473">
        <v>12944</v>
      </c>
      <c r="F393" s="507">
        <v>0</v>
      </c>
      <c r="G393" s="507"/>
      <c r="H393" s="507"/>
      <c r="I393" s="166"/>
      <c r="J393" s="473">
        <v>12944</v>
      </c>
    </row>
    <row r="394" spans="1:10" ht="15" customHeight="1">
      <c r="A394" s="166"/>
      <c r="B394" s="505" t="s">
        <v>774</v>
      </c>
      <c r="C394" s="506"/>
      <c r="D394" s="506"/>
      <c r="E394" s="473">
        <v>16729</v>
      </c>
      <c r="F394" s="507">
        <v>180</v>
      </c>
      <c r="G394" s="508"/>
      <c r="H394" s="508"/>
      <c r="I394" s="166"/>
      <c r="J394" s="473">
        <v>16909</v>
      </c>
    </row>
    <row r="395" spans="1:10" ht="15" customHeight="1">
      <c r="A395" s="166"/>
      <c r="B395" s="505" t="s">
        <v>773</v>
      </c>
      <c r="C395" s="506"/>
      <c r="D395" s="506"/>
      <c r="E395" s="473">
        <v>43310</v>
      </c>
      <c r="F395" s="507">
        <v>0</v>
      </c>
      <c r="G395" s="507"/>
      <c r="H395" s="507"/>
      <c r="I395" s="166"/>
      <c r="J395" s="473">
        <v>43310</v>
      </c>
    </row>
    <row r="396" spans="1:10" ht="30" customHeight="1">
      <c r="A396" s="166"/>
      <c r="B396" s="505" t="s">
        <v>772</v>
      </c>
      <c r="C396" s="506"/>
      <c r="D396" s="506"/>
      <c r="E396" s="473">
        <v>2200</v>
      </c>
      <c r="F396" s="507">
        <v>0</v>
      </c>
      <c r="G396" s="507"/>
      <c r="H396" s="507"/>
      <c r="I396" s="166"/>
      <c r="J396" s="473">
        <v>2200</v>
      </c>
    </row>
    <row r="397" ht="9" customHeight="1"/>
    <row r="398" spans="1:10" ht="15">
      <c r="A398" s="504" t="s">
        <v>1033</v>
      </c>
      <c r="B398" s="502"/>
      <c r="C398" s="502"/>
      <c r="D398" s="502"/>
      <c r="E398" s="502"/>
      <c r="F398" s="502"/>
      <c r="G398" s="502"/>
      <c r="H398" s="502"/>
      <c r="I398" s="502"/>
      <c r="J398" s="502"/>
    </row>
    <row r="399" spans="2:10" s="168" customFormat="1" ht="15" customHeight="1">
      <c r="B399" s="495" t="s">
        <v>779</v>
      </c>
      <c r="C399" s="496"/>
      <c r="D399" s="496"/>
      <c r="E399" s="169">
        <v>1589586</v>
      </c>
      <c r="F399" s="497">
        <v>0</v>
      </c>
      <c r="G399" s="497"/>
      <c r="H399" s="497"/>
      <c r="J399" s="169">
        <v>1589586</v>
      </c>
    </row>
    <row r="400" spans="2:10" ht="15" customHeight="1">
      <c r="B400" s="501" t="s">
        <v>778</v>
      </c>
      <c r="C400" s="502"/>
      <c r="D400" s="502"/>
      <c r="E400" s="164">
        <v>1154302</v>
      </c>
      <c r="F400" s="503">
        <v>0</v>
      </c>
      <c r="G400" s="503"/>
      <c r="H400" s="503"/>
      <c r="J400" s="164">
        <v>1154302</v>
      </c>
    </row>
    <row r="401" spans="2:10" ht="15" customHeight="1">
      <c r="B401" s="501" t="s">
        <v>777</v>
      </c>
      <c r="C401" s="502"/>
      <c r="D401" s="502"/>
      <c r="E401" s="164">
        <v>435284</v>
      </c>
      <c r="F401" s="503">
        <v>-180</v>
      </c>
      <c r="G401" s="499"/>
      <c r="H401" s="499"/>
      <c r="J401" s="164">
        <v>435104</v>
      </c>
    </row>
    <row r="402" spans="2:10" ht="15" customHeight="1">
      <c r="B402" s="501" t="s">
        <v>774</v>
      </c>
      <c r="C402" s="502"/>
      <c r="D402" s="502"/>
      <c r="E402" s="164">
        <v>0</v>
      </c>
      <c r="F402" s="503">
        <v>180</v>
      </c>
      <c r="G402" s="499"/>
      <c r="H402" s="499"/>
      <c r="J402" s="164">
        <v>180</v>
      </c>
    </row>
    <row r="403" ht="9" customHeight="1"/>
    <row r="404" spans="1:10" ht="15">
      <c r="A404" s="504" t="s">
        <v>1032</v>
      </c>
      <c r="B404" s="502"/>
      <c r="C404" s="502"/>
      <c r="D404" s="502"/>
      <c r="E404" s="502"/>
      <c r="F404" s="502"/>
      <c r="G404" s="502"/>
      <c r="H404" s="502"/>
      <c r="I404" s="502"/>
      <c r="J404" s="502"/>
    </row>
    <row r="405" spans="2:10" s="168" customFormat="1" ht="15" customHeight="1">
      <c r="B405" s="495" t="s">
        <v>779</v>
      </c>
      <c r="C405" s="496"/>
      <c r="D405" s="496"/>
      <c r="E405" s="169">
        <v>803837</v>
      </c>
      <c r="F405" s="497">
        <v>0</v>
      </c>
      <c r="G405" s="497"/>
      <c r="H405" s="497"/>
      <c r="J405" s="169">
        <v>803837</v>
      </c>
    </row>
    <row r="406" spans="2:10" ht="15" customHeight="1">
      <c r="B406" s="501" t="s">
        <v>778</v>
      </c>
      <c r="C406" s="502"/>
      <c r="D406" s="502"/>
      <c r="E406" s="164">
        <v>73263</v>
      </c>
      <c r="F406" s="503">
        <v>0</v>
      </c>
      <c r="G406" s="503"/>
      <c r="H406" s="503"/>
      <c r="J406" s="164">
        <v>73263</v>
      </c>
    </row>
    <row r="407" spans="2:10" ht="15" customHeight="1">
      <c r="B407" s="501" t="s">
        <v>777</v>
      </c>
      <c r="C407" s="502"/>
      <c r="D407" s="502"/>
      <c r="E407" s="164">
        <v>675552</v>
      </c>
      <c r="F407" s="503">
        <v>0</v>
      </c>
      <c r="G407" s="503"/>
      <c r="H407" s="503"/>
      <c r="J407" s="164">
        <v>675552</v>
      </c>
    </row>
    <row r="408" spans="2:10" ht="15" customHeight="1">
      <c r="B408" s="501" t="s">
        <v>774</v>
      </c>
      <c r="C408" s="502"/>
      <c r="D408" s="502"/>
      <c r="E408" s="164">
        <v>11712</v>
      </c>
      <c r="F408" s="503">
        <v>0</v>
      </c>
      <c r="G408" s="503"/>
      <c r="H408" s="503"/>
      <c r="J408" s="164">
        <v>11712</v>
      </c>
    </row>
    <row r="409" spans="2:10" ht="15" customHeight="1">
      <c r="B409" s="501" t="s">
        <v>773</v>
      </c>
      <c r="C409" s="502"/>
      <c r="D409" s="502"/>
      <c r="E409" s="164">
        <v>43310</v>
      </c>
      <c r="F409" s="503">
        <v>0</v>
      </c>
      <c r="G409" s="503"/>
      <c r="H409" s="503"/>
      <c r="J409" s="164">
        <v>43310</v>
      </c>
    </row>
    <row r="410" ht="9" customHeight="1"/>
    <row r="411" spans="1:10" ht="19.5" customHeight="1">
      <c r="A411" s="504" t="s">
        <v>814</v>
      </c>
      <c r="B411" s="502"/>
      <c r="C411" s="502"/>
      <c r="D411" s="502"/>
      <c r="E411" s="502"/>
      <c r="F411" s="502"/>
      <c r="G411" s="502"/>
      <c r="H411" s="502"/>
      <c r="I411" s="502"/>
      <c r="J411" s="502"/>
    </row>
    <row r="412" spans="2:10" s="168" customFormat="1" ht="15" customHeight="1">
      <c r="B412" s="495" t="s">
        <v>779</v>
      </c>
      <c r="C412" s="496"/>
      <c r="D412" s="496"/>
      <c r="E412" s="169">
        <v>104313</v>
      </c>
      <c r="F412" s="497">
        <v>0</v>
      </c>
      <c r="G412" s="497"/>
      <c r="H412" s="497"/>
      <c r="J412" s="169">
        <v>104313</v>
      </c>
    </row>
    <row r="413" spans="2:10" ht="15" customHeight="1">
      <c r="B413" s="501" t="s">
        <v>778</v>
      </c>
      <c r="C413" s="502"/>
      <c r="D413" s="502"/>
      <c r="E413" s="164">
        <v>99593</v>
      </c>
      <c r="F413" s="503">
        <v>0</v>
      </c>
      <c r="G413" s="503"/>
      <c r="H413" s="503"/>
      <c r="J413" s="164">
        <v>99593</v>
      </c>
    </row>
    <row r="414" spans="2:10" ht="15" customHeight="1">
      <c r="B414" s="501" t="s">
        <v>777</v>
      </c>
      <c r="C414" s="502"/>
      <c r="D414" s="502"/>
      <c r="E414" s="164">
        <v>4720</v>
      </c>
      <c r="F414" s="503">
        <v>0</v>
      </c>
      <c r="G414" s="503"/>
      <c r="H414" s="503"/>
      <c r="J414" s="164">
        <v>4720</v>
      </c>
    </row>
    <row r="415" ht="9" customHeight="1"/>
    <row r="416" spans="1:10" ht="19.5" customHeight="1">
      <c r="A416" s="504" t="s">
        <v>813</v>
      </c>
      <c r="B416" s="502"/>
      <c r="C416" s="502"/>
      <c r="D416" s="502"/>
      <c r="E416" s="502"/>
      <c r="F416" s="502"/>
      <c r="G416" s="502"/>
      <c r="H416" s="502"/>
      <c r="I416" s="502"/>
      <c r="J416" s="502"/>
    </row>
    <row r="417" spans="2:10" s="168" customFormat="1" ht="15" customHeight="1">
      <c r="B417" s="495" t="s">
        <v>779</v>
      </c>
      <c r="C417" s="496"/>
      <c r="D417" s="496"/>
      <c r="E417" s="169">
        <v>25024</v>
      </c>
      <c r="F417" s="497">
        <v>0</v>
      </c>
      <c r="G417" s="497"/>
      <c r="H417" s="497"/>
      <c r="J417" s="169">
        <v>25024</v>
      </c>
    </row>
    <row r="418" spans="2:10" ht="15" customHeight="1">
      <c r="B418" s="501" t="s">
        <v>778</v>
      </c>
      <c r="C418" s="502"/>
      <c r="D418" s="502"/>
      <c r="E418" s="164">
        <v>22024</v>
      </c>
      <c r="F418" s="503">
        <v>0</v>
      </c>
      <c r="G418" s="503"/>
      <c r="H418" s="503"/>
      <c r="J418" s="164">
        <v>22024</v>
      </c>
    </row>
    <row r="419" spans="2:10" ht="15" customHeight="1">
      <c r="B419" s="501" t="s">
        <v>777</v>
      </c>
      <c r="C419" s="502"/>
      <c r="D419" s="502"/>
      <c r="E419" s="164">
        <v>3000</v>
      </c>
      <c r="F419" s="503">
        <v>0</v>
      </c>
      <c r="G419" s="503"/>
      <c r="H419" s="503"/>
      <c r="J419" s="164">
        <v>3000</v>
      </c>
    </row>
    <row r="420" ht="9" customHeight="1"/>
    <row r="421" spans="1:10" ht="15">
      <c r="A421" s="504" t="s">
        <v>812</v>
      </c>
      <c r="B421" s="502"/>
      <c r="C421" s="502"/>
      <c r="D421" s="502"/>
      <c r="E421" s="502"/>
      <c r="F421" s="502"/>
      <c r="G421" s="502"/>
      <c r="H421" s="502"/>
      <c r="I421" s="502"/>
      <c r="J421" s="502"/>
    </row>
    <row r="422" spans="2:10" s="168" customFormat="1" ht="15" customHeight="1">
      <c r="B422" s="495" t="s">
        <v>779</v>
      </c>
      <c r="C422" s="496"/>
      <c r="D422" s="496"/>
      <c r="E422" s="169">
        <v>593895</v>
      </c>
      <c r="F422" s="497">
        <v>0</v>
      </c>
      <c r="G422" s="497"/>
      <c r="H422" s="497"/>
      <c r="J422" s="169">
        <v>593895</v>
      </c>
    </row>
    <row r="423" spans="2:10" ht="15" customHeight="1">
      <c r="B423" s="501" t="s">
        <v>778</v>
      </c>
      <c r="C423" s="502"/>
      <c r="D423" s="502"/>
      <c r="E423" s="164">
        <v>555864</v>
      </c>
      <c r="F423" s="503">
        <v>0</v>
      </c>
      <c r="G423" s="503"/>
      <c r="H423" s="503"/>
      <c r="J423" s="164">
        <v>555864</v>
      </c>
    </row>
    <row r="424" spans="2:10" ht="15" customHeight="1">
      <c r="B424" s="501" t="s">
        <v>777</v>
      </c>
      <c r="C424" s="502"/>
      <c r="D424" s="502"/>
      <c r="E424" s="164">
        <v>36014</v>
      </c>
      <c r="F424" s="503">
        <v>0</v>
      </c>
      <c r="G424" s="503"/>
      <c r="H424" s="503"/>
      <c r="J424" s="164">
        <v>36014</v>
      </c>
    </row>
    <row r="425" spans="2:10" ht="15" customHeight="1">
      <c r="B425" s="501" t="s">
        <v>774</v>
      </c>
      <c r="C425" s="502"/>
      <c r="D425" s="502"/>
      <c r="E425" s="164">
        <v>2017</v>
      </c>
      <c r="F425" s="503">
        <v>0</v>
      </c>
      <c r="G425" s="503"/>
      <c r="H425" s="503"/>
      <c r="J425" s="164">
        <v>2017</v>
      </c>
    </row>
    <row r="426" ht="9" customHeight="1"/>
    <row r="427" spans="1:10" ht="15">
      <c r="A427" s="504" t="s">
        <v>811</v>
      </c>
      <c r="B427" s="502"/>
      <c r="C427" s="502"/>
      <c r="D427" s="502"/>
      <c r="E427" s="502"/>
      <c r="F427" s="502"/>
      <c r="G427" s="502"/>
      <c r="H427" s="502"/>
      <c r="I427" s="502"/>
      <c r="J427" s="502"/>
    </row>
    <row r="428" spans="2:10" s="168" customFormat="1" ht="15" customHeight="1">
      <c r="B428" s="495" t="s">
        <v>779</v>
      </c>
      <c r="C428" s="496"/>
      <c r="D428" s="496"/>
      <c r="E428" s="169">
        <v>38453</v>
      </c>
      <c r="F428" s="497">
        <v>0</v>
      </c>
      <c r="G428" s="497"/>
      <c r="H428" s="497"/>
      <c r="J428" s="169">
        <v>38453</v>
      </c>
    </row>
    <row r="429" spans="2:10" ht="15" customHeight="1">
      <c r="B429" s="501" t="s">
        <v>778</v>
      </c>
      <c r="C429" s="502"/>
      <c r="D429" s="502"/>
      <c r="E429" s="164">
        <v>7649</v>
      </c>
      <c r="F429" s="503">
        <v>0</v>
      </c>
      <c r="G429" s="503"/>
      <c r="H429" s="503"/>
      <c r="J429" s="164">
        <v>7649</v>
      </c>
    </row>
    <row r="430" spans="2:10" ht="15" customHeight="1">
      <c r="B430" s="501" t="s">
        <v>777</v>
      </c>
      <c r="C430" s="502"/>
      <c r="D430" s="502"/>
      <c r="E430" s="164">
        <v>12660</v>
      </c>
      <c r="F430" s="503">
        <v>0</v>
      </c>
      <c r="G430" s="503"/>
      <c r="H430" s="503"/>
      <c r="J430" s="164">
        <v>12660</v>
      </c>
    </row>
    <row r="431" spans="2:10" ht="15" customHeight="1">
      <c r="B431" s="501" t="s">
        <v>776</v>
      </c>
      <c r="C431" s="502"/>
      <c r="D431" s="502"/>
      <c r="E431" s="164">
        <v>12944</v>
      </c>
      <c r="F431" s="503">
        <v>0</v>
      </c>
      <c r="G431" s="503"/>
      <c r="H431" s="503"/>
      <c r="J431" s="164">
        <v>12944</v>
      </c>
    </row>
    <row r="432" spans="2:10" ht="15" customHeight="1">
      <c r="B432" s="501" t="s">
        <v>774</v>
      </c>
      <c r="C432" s="502"/>
      <c r="D432" s="502"/>
      <c r="E432" s="164">
        <v>3000</v>
      </c>
      <c r="F432" s="503">
        <v>0</v>
      </c>
      <c r="G432" s="503"/>
      <c r="H432" s="503"/>
      <c r="J432" s="164">
        <v>3000</v>
      </c>
    </row>
    <row r="433" spans="2:10" ht="30" customHeight="1">
      <c r="B433" s="501" t="s">
        <v>772</v>
      </c>
      <c r="C433" s="502"/>
      <c r="D433" s="502"/>
      <c r="E433" s="164">
        <v>2200</v>
      </c>
      <c r="F433" s="503">
        <v>0</v>
      </c>
      <c r="G433" s="503"/>
      <c r="H433" s="503"/>
      <c r="J433" s="164">
        <v>2200</v>
      </c>
    </row>
    <row r="434" ht="9" customHeight="1"/>
    <row r="435" spans="1:10" ht="15">
      <c r="A435" s="509" t="s">
        <v>1031</v>
      </c>
      <c r="B435" s="506"/>
      <c r="C435" s="506"/>
      <c r="D435" s="506"/>
      <c r="E435" s="506"/>
      <c r="F435" s="506"/>
      <c r="G435" s="506"/>
      <c r="H435" s="506"/>
      <c r="I435" s="506"/>
      <c r="J435" s="506"/>
    </row>
    <row r="436" spans="1:10" ht="15" customHeight="1">
      <c r="A436" s="166"/>
      <c r="B436" s="505" t="s">
        <v>779</v>
      </c>
      <c r="C436" s="506"/>
      <c r="D436" s="506"/>
      <c r="E436" s="473">
        <v>588870</v>
      </c>
      <c r="F436" s="507">
        <v>107826</v>
      </c>
      <c r="G436" s="508"/>
      <c r="H436" s="508"/>
      <c r="I436" s="166"/>
      <c r="J436" s="473">
        <v>696696</v>
      </c>
    </row>
    <row r="437" spans="1:10" ht="15" customHeight="1">
      <c r="A437" s="166"/>
      <c r="B437" s="505" t="s">
        <v>778</v>
      </c>
      <c r="C437" s="506"/>
      <c r="D437" s="506"/>
      <c r="E437" s="473">
        <v>442380</v>
      </c>
      <c r="F437" s="507">
        <v>64977</v>
      </c>
      <c r="G437" s="508"/>
      <c r="H437" s="508"/>
      <c r="I437" s="166"/>
      <c r="J437" s="473">
        <v>507357</v>
      </c>
    </row>
    <row r="438" spans="1:10" ht="15" customHeight="1">
      <c r="A438" s="166"/>
      <c r="B438" s="505" t="s">
        <v>777</v>
      </c>
      <c r="C438" s="506"/>
      <c r="D438" s="506"/>
      <c r="E438" s="473">
        <v>145702</v>
      </c>
      <c r="F438" s="507">
        <v>42849</v>
      </c>
      <c r="G438" s="508"/>
      <c r="H438" s="508"/>
      <c r="I438" s="166"/>
      <c r="J438" s="473">
        <v>188551</v>
      </c>
    </row>
    <row r="439" spans="1:10" ht="15" customHeight="1">
      <c r="A439" s="166"/>
      <c r="B439" s="505" t="s">
        <v>774</v>
      </c>
      <c r="C439" s="506"/>
      <c r="D439" s="506"/>
      <c r="E439" s="473">
        <v>788</v>
      </c>
      <c r="F439" s="507">
        <v>0</v>
      </c>
      <c r="G439" s="507"/>
      <c r="H439" s="507"/>
      <c r="I439" s="166"/>
      <c r="J439" s="473">
        <v>788</v>
      </c>
    </row>
    <row r="440" ht="9" customHeight="1"/>
    <row r="441" spans="1:10" ht="19.5" customHeight="1">
      <c r="A441" s="504" t="s">
        <v>1030</v>
      </c>
      <c r="B441" s="502"/>
      <c r="C441" s="502"/>
      <c r="D441" s="502"/>
      <c r="E441" s="502"/>
      <c r="F441" s="502"/>
      <c r="G441" s="502"/>
      <c r="H441" s="502"/>
      <c r="I441" s="502"/>
      <c r="J441" s="502"/>
    </row>
    <row r="442" spans="2:10" s="168" customFormat="1" ht="15" customHeight="1">
      <c r="B442" s="495" t="s">
        <v>779</v>
      </c>
      <c r="C442" s="496"/>
      <c r="D442" s="496"/>
      <c r="E442" s="169">
        <v>588870</v>
      </c>
      <c r="F442" s="497">
        <v>0</v>
      </c>
      <c r="G442" s="497"/>
      <c r="H442" s="497"/>
      <c r="J442" s="169">
        <v>588870</v>
      </c>
    </row>
    <row r="443" spans="2:10" ht="15" customHeight="1">
      <c r="B443" s="501" t="s">
        <v>778</v>
      </c>
      <c r="C443" s="502"/>
      <c r="D443" s="502"/>
      <c r="E443" s="164">
        <v>442380</v>
      </c>
      <c r="F443" s="503">
        <v>0</v>
      </c>
      <c r="G443" s="503"/>
      <c r="H443" s="503"/>
      <c r="J443" s="164">
        <v>442380</v>
      </c>
    </row>
    <row r="444" spans="2:10" ht="15" customHeight="1">
      <c r="B444" s="501" t="s">
        <v>777</v>
      </c>
      <c r="C444" s="502"/>
      <c r="D444" s="502"/>
      <c r="E444" s="164">
        <v>145702</v>
      </c>
      <c r="F444" s="503">
        <v>0</v>
      </c>
      <c r="G444" s="503"/>
      <c r="H444" s="503"/>
      <c r="J444" s="164">
        <v>145702</v>
      </c>
    </row>
    <row r="445" spans="2:10" ht="15" customHeight="1">
      <c r="B445" s="501" t="s">
        <v>774</v>
      </c>
      <c r="C445" s="502"/>
      <c r="D445" s="502"/>
      <c r="E445" s="164">
        <v>788</v>
      </c>
      <c r="F445" s="503">
        <v>0</v>
      </c>
      <c r="G445" s="503"/>
      <c r="H445" s="503"/>
      <c r="J445" s="164">
        <v>788</v>
      </c>
    </row>
    <row r="446" ht="9" customHeight="1"/>
    <row r="447" spans="1:10" ht="19.5" customHeight="1">
      <c r="A447" s="504" t="s">
        <v>1029</v>
      </c>
      <c r="B447" s="502"/>
      <c r="C447" s="502"/>
      <c r="D447" s="502"/>
      <c r="E447" s="502"/>
      <c r="F447" s="502"/>
      <c r="G447" s="502"/>
      <c r="H447" s="502"/>
      <c r="I447" s="502"/>
      <c r="J447" s="502"/>
    </row>
    <row r="448" spans="2:10" s="168" customFormat="1" ht="15" customHeight="1">
      <c r="B448" s="495" t="s">
        <v>779</v>
      </c>
      <c r="C448" s="496"/>
      <c r="D448" s="496"/>
      <c r="E448" s="169">
        <v>0</v>
      </c>
      <c r="F448" s="497">
        <v>107826</v>
      </c>
      <c r="G448" s="500"/>
      <c r="H448" s="500"/>
      <c r="J448" s="169">
        <v>107826</v>
      </c>
    </row>
    <row r="449" spans="2:10" ht="15" customHeight="1">
      <c r="B449" s="501" t="s">
        <v>778</v>
      </c>
      <c r="C449" s="502"/>
      <c r="D449" s="502"/>
      <c r="E449" s="164">
        <v>0</v>
      </c>
      <c r="F449" s="503">
        <v>64977</v>
      </c>
      <c r="G449" s="499"/>
      <c r="H449" s="499"/>
      <c r="J449" s="164">
        <v>64977</v>
      </c>
    </row>
    <row r="450" spans="2:10" ht="15" customHeight="1">
      <c r="B450" s="501" t="s">
        <v>777</v>
      </c>
      <c r="C450" s="502"/>
      <c r="D450" s="502"/>
      <c r="E450" s="164">
        <v>0</v>
      </c>
      <c r="F450" s="503">
        <v>42849</v>
      </c>
      <c r="G450" s="499"/>
      <c r="H450" s="499"/>
      <c r="J450" s="164">
        <v>42849</v>
      </c>
    </row>
    <row r="451" ht="9" customHeight="1"/>
    <row r="452" spans="1:10" ht="31.5" customHeight="1">
      <c r="A452" s="509" t="s">
        <v>1028</v>
      </c>
      <c r="B452" s="506"/>
      <c r="C452" s="506"/>
      <c r="D452" s="506"/>
      <c r="E452" s="506"/>
      <c r="F452" s="506"/>
      <c r="G452" s="506"/>
      <c r="H452" s="506"/>
      <c r="I452" s="506"/>
      <c r="J452" s="506"/>
    </row>
    <row r="453" spans="1:10" ht="15" customHeight="1">
      <c r="A453" s="166"/>
      <c r="B453" s="505" t="s">
        <v>779</v>
      </c>
      <c r="C453" s="506"/>
      <c r="D453" s="506"/>
      <c r="E453" s="473">
        <v>1327114</v>
      </c>
      <c r="F453" s="507">
        <v>0</v>
      </c>
      <c r="G453" s="507"/>
      <c r="H453" s="507"/>
      <c r="I453" s="166"/>
      <c r="J453" s="473">
        <v>1327114</v>
      </c>
    </row>
    <row r="454" spans="1:10" ht="15" customHeight="1">
      <c r="A454" s="166"/>
      <c r="B454" s="505" t="s">
        <v>778</v>
      </c>
      <c r="C454" s="506"/>
      <c r="D454" s="506"/>
      <c r="E454" s="473">
        <v>833683</v>
      </c>
      <c r="F454" s="507">
        <v>1840</v>
      </c>
      <c r="G454" s="508"/>
      <c r="H454" s="508"/>
      <c r="I454" s="166"/>
      <c r="J454" s="473">
        <v>835523</v>
      </c>
    </row>
    <row r="455" spans="1:10" ht="15" customHeight="1">
      <c r="A455" s="166"/>
      <c r="B455" s="505" t="s">
        <v>777</v>
      </c>
      <c r="C455" s="506"/>
      <c r="D455" s="506"/>
      <c r="E455" s="473">
        <v>414743</v>
      </c>
      <c r="F455" s="507">
        <v>-1840</v>
      </c>
      <c r="G455" s="508"/>
      <c r="H455" s="508"/>
      <c r="I455" s="166"/>
      <c r="J455" s="473">
        <v>412903</v>
      </c>
    </row>
    <row r="456" spans="1:10" ht="15" customHeight="1">
      <c r="A456" s="166"/>
      <c r="B456" s="505" t="s">
        <v>776</v>
      </c>
      <c r="C456" s="506"/>
      <c r="D456" s="506"/>
      <c r="E456" s="473">
        <v>64300</v>
      </c>
      <c r="F456" s="507">
        <v>0</v>
      </c>
      <c r="G456" s="507"/>
      <c r="H456" s="507"/>
      <c r="I456" s="166"/>
      <c r="J456" s="473">
        <v>64300</v>
      </c>
    </row>
    <row r="457" spans="1:10" ht="15" customHeight="1">
      <c r="A457" s="166"/>
      <c r="B457" s="505" t="s">
        <v>774</v>
      </c>
      <c r="C457" s="506"/>
      <c r="D457" s="506"/>
      <c r="E457" s="473">
        <v>4938</v>
      </c>
      <c r="F457" s="507">
        <v>0</v>
      </c>
      <c r="G457" s="507"/>
      <c r="H457" s="507"/>
      <c r="I457" s="166"/>
      <c r="J457" s="473">
        <v>4938</v>
      </c>
    </row>
    <row r="458" spans="1:10" ht="15" customHeight="1">
      <c r="A458" s="166"/>
      <c r="B458" s="505" t="s">
        <v>773</v>
      </c>
      <c r="C458" s="506"/>
      <c r="D458" s="506"/>
      <c r="E458" s="473">
        <v>9450</v>
      </c>
      <c r="F458" s="507">
        <v>0</v>
      </c>
      <c r="G458" s="507"/>
      <c r="H458" s="507"/>
      <c r="I458" s="166"/>
      <c r="J458" s="473">
        <v>9450</v>
      </c>
    </row>
    <row r="459" ht="9" customHeight="1"/>
    <row r="460" spans="1:10" ht="19.5" customHeight="1">
      <c r="A460" s="504" t="s">
        <v>1027</v>
      </c>
      <c r="B460" s="502"/>
      <c r="C460" s="502"/>
      <c r="D460" s="502"/>
      <c r="E460" s="502"/>
      <c r="F460" s="502"/>
      <c r="G460" s="502"/>
      <c r="H460" s="502"/>
      <c r="I460" s="502"/>
      <c r="J460" s="502"/>
    </row>
    <row r="461" spans="2:10" s="168" customFormat="1" ht="15" customHeight="1">
      <c r="B461" s="495" t="s">
        <v>779</v>
      </c>
      <c r="C461" s="496"/>
      <c r="D461" s="496"/>
      <c r="E461" s="169">
        <v>1238799</v>
      </c>
      <c r="F461" s="497">
        <v>0</v>
      </c>
      <c r="G461" s="497"/>
      <c r="H461" s="497"/>
      <c r="J461" s="169">
        <v>1238799</v>
      </c>
    </row>
    <row r="462" spans="2:10" ht="15" customHeight="1">
      <c r="B462" s="501" t="s">
        <v>778</v>
      </c>
      <c r="C462" s="502"/>
      <c r="D462" s="502"/>
      <c r="E462" s="164">
        <v>831829</v>
      </c>
      <c r="F462" s="503">
        <v>0</v>
      </c>
      <c r="G462" s="503"/>
      <c r="H462" s="503"/>
      <c r="J462" s="164">
        <v>831829</v>
      </c>
    </row>
    <row r="463" spans="2:10" ht="15" customHeight="1">
      <c r="B463" s="501" t="s">
        <v>777</v>
      </c>
      <c r="C463" s="502"/>
      <c r="D463" s="502"/>
      <c r="E463" s="164">
        <v>328282</v>
      </c>
      <c r="F463" s="503">
        <v>0</v>
      </c>
      <c r="G463" s="503"/>
      <c r="H463" s="503"/>
      <c r="J463" s="164">
        <v>328282</v>
      </c>
    </row>
    <row r="464" spans="2:10" ht="15" customHeight="1">
      <c r="B464" s="501" t="s">
        <v>776</v>
      </c>
      <c r="C464" s="502"/>
      <c r="D464" s="502"/>
      <c r="E464" s="164">
        <v>64300</v>
      </c>
      <c r="F464" s="503">
        <v>0</v>
      </c>
      <c r="G464" s="503"/>
      <c r="H464" s="503"/>
      <c r="J464" s="164">
        <v>64300</v>
      </c>
    </row>
    <row r="465" spans="2:10" ht="15" customHeight="1">
      <c r="B465" s="501" t="s">
        <v>774</v>
      </c>
      <c r="C465" s="502"/>
      <c r="D465" s="502"/>
      <c r="E465" s="164">
        <v>4938</v>
      </c>
      <c r="F465" s="503">
        <v>0</v>
      </c>
      <c r="G465" s="503"/>
      <c r="H465" s="503"/>
      <c r="J465" s="164">
        <v>4938</v>
      </c>
    </row>
    <row r="466" spans="2:10" ht="15" customHeight="1">
      <c r="B466" s="501" t="s">
        <v>773</v>
      </c>
      <c r="C466" s="502"/>
      <c r="D466" s="502"/>
      <c r="E466" s="164">
        <v>9450</v>
      </c>
      <c r="F466" s="503">
        <v>0</v>
      </c>
      <c r="G466" s="503"/>
      <c r="H466" s="503"/>
      <c r="J466" s="164">
        <v>9450</v>
      </c>
    </row>
    <row r="467" ht="9" customHeight="1"/>
    <row r="468" spans="1:10" ht="19.5" customHeight="1">
      <c r="A468" s="504" t="s">
        <v>1026</v>
      </c>
      <c r="B468" s="502"/>
      <c r="C468" s="502"/>
      <c r="D468" s="502"/>
      <c r="E468" s="502"/>
      <c r="F468" s="502"/>
      <c r="G468" s="502"/>
      <c r="H468" s="502"/>
      <c r="I468" s="502"/>
      <c r="J468" s="502"/>
    </row>
    <row r="469" spans="2:10" s="168" customFormat="1" ht="15" customHeight="1">
      <c r="B469" s="495" t="s">
        <v>779</v>
      </c>
      <c r="C469" s="496"/>
      <c r="D469" s="496"/>
      <c r="E469" s="169">
        <v>88315</v>
      </c>
      <c r="F469" s="497">
        <v>0</v>
      </c>
      <c r="G469" s="497"/>
      <c r="H469" s="497"/>
      <c r="J469" s="169">
        <v>88315</v>
      </c>
    </row>
    <row r="470" spans="2:10" ht="15" customHeight="1">
      <c r="B470" s="501" t="s">
        <v>778</v>
      </c>
      <c r="C470" s="502"/>
      <c r="D470" s="502"/>
      <c r="E470" s="164">
        <v>1854</v>
      </c>
      <c r="F470" s="503">
        <v>1840</v>
      </c>
      <c r="G470" s="499"/>
      <c r="H470" s="499"/>
      <c r="J470" s="164">
        <v>3694</v>
      </c>
    </row>
    <row r="471" spans="2:10" ht="15" customHeight="1">
      <c r="B471" s="501" t="s">
        <v>777</v>
      </c>
      <c r="C471" s="502"/>
      <c r="D471" s="502"/>
      <c r="E471" s="164">
        <v>86461</v>
      </c>
      <c r="F471" s="503">
        <v>-1840</v>
      </c>
      <c r="G471" s="499"/>
      <c r="H471" s="499"/>
      <c r="J471" s="164">
        <v>84621</v>
      </c>
    </row>
    <row r="472" ht="9" customHeight="1"/>
    <row r="473" spans="1:10" ht="31.5" customHeight="1">
      <c r="A473" s="509" t="s">
        <v>1025</v>
      </c>
      <c r="B473" s="506"/>
      <c r="C473" s="506"/>
      <c r="D473" s="506"/>
      <c r="E473" s="506"/>
      <c r="F473" s="506"/>
      <c r="G473" s="506"/>
      <c r="H473" s="506"/>
      <c r="I473" s="506"/>
      <c r="J473" s="506"/>
    </row>
    <row r="474" spans="1:10" ht="15" customHeight="1">
      <c r="A474" s="166"/>
      <c r="B474" s="505" t="s">
        <v>779</v>
      </c>
      <c r="C474" s="506"/>
      <c r="D474" s="506"/>
      <c r="E474" s="473">
        <v>47613454</v>
      </c>
      <c r="F474" s="507">
        <v>320622</v>
      </c>
      <c r="G474" s="508"/>
      <c r="H474" s="508"/>
      <c r="I474" s="166"/>
      <c r="J474" s="473">
        <v>47934076</v>
      </c>
    </row>
    <row r="475" spans="1:10" ht="15" customHeight="1">
      <c r="A475" s="166"/>
      <c r="B475" s="505" t="s">
        <v>778</v>
      </c>
      <c r="C475" s="506"/>
      <c r="D475" s="506"/>
      <c r="E475" s="473">
        <v>34342116</v>
      </c>
      <c r="F475" s="507">
        <v>-86617</v>
      </c>
      <c r="G475" s="508"/>
      <c r="H475" s="508"/>
      <c r="I475" s="166"/>
      <c r="J475" s="473">
        <v>34255499</v>
      </c>
    </row>
    <row r="476" spans="1:10" ht="15" customHeight="1">
      <c r="A476" s="166"/>
      <c r="B476" s="505" t="s">
        <v>777</v>
      </c>
      <c r="C476" s="506"/>
      <c r="D476" s="506"/>
      <c r="E476" s="473">
        <v>5928477</v>
      </c>
      <c r="F476" s="507">
        <v>239069</v>
      </c>
      <c r="G476" s="508"/>
      <c r="H476" s="508"/>
      <c r="I476" s="166"/>
      <c r="J476" s="473">
        <v>6167546</v>
      </c>
    </row>
    <row r="477" spans="1:10" ht="15" customHeight="1">
      <c r="A477" s="166"/>
      <c r="B477" s="505" t="s">
        <v>776</v>
      </c>
      <c r="C477" s="506"/>
      <c r="D477" s="506"/>
      <c r="E477" s="473">
        <v>3055035</v>
      </c>
      <c r="F477" s="507">
        <v>7800</v>
      </c>
      <c r="G477" s="508"/>
      <c r="H477" s="508"/>
      <c r="I477" s="166"/>
      <c r="J477" s="473">
        <v>3062835</v>
      </c>
    </row>
    <row r="478" spans="1:10" ht="15" customHeight="1">
      <c r="A478" s="166"/>
      <c r="B478" s="505" t="s">
        <v>774</v>
      </c>
      <c r="C478" s="506"/>
      <c r="D478" s="506"/>
      <c r="E478" s="473">
        <v>2671444</v>
      </c>
      <c r="F478" s="507">
        <v>48890</v>
      </c>
      <c r="G478" s="508"/>
      <c r="H478" s="508"/>
      <c r="I478" s="166"/>
      <c r="J478" s="473">
        <v>2720334</v>
      </c>
    </row>
    <row r="479" spans="1:10" ht="15" customHeight="1">
      <c r="A479" s="166"/>
      <c r="B479" s="505" t="s">
        <v>773</v>
      </c>
      <c r="C479" s="506"/>
      <c r="D479" s="506"/>
      <c r="E479" s="473">
        <v>611120</v>
      </c>
      <c r="F479" s="507">
        <v>0</v>
      </c>
      <c r="G479" s="507"/>
      <c r="H479" s="507"/>
      <c r="I479" s="166"/>
      <c r="J479" s="473">
        <v>611120</v>
      </c>
    </row>
    <row r="480" spans="1:10" ht="30" customHeight="1">
      <c r="A480" s="166"/>
      <c r="B480" s="505" t="s">
        <v>772</v>
      </c>
      <c r="C480" s="506"/>
      <c r="D480" s="506"/>
      <c r="E480" s="473">
        <v>1005262</v>
      </c>
      <c r="F480" s="507">
        <v>111480</v>
      </c>
      <c r="G480" s="508"/>
      <c r="H480" s="508"/>
      <c r="I480" s="166"/>
      <c r="J480" s="473">
        <v>1116742</v>
      </c>
    </row>
    <row r="481" ht="9" customHeight="1"/>
    <row r="482" spans="1:10" ht="19.5" customHeight="1">
      <c r="A482" s="504" t="s">
        <v>810</v>
      </c>
      <c r="B482" s="502"/>
      <c r="C482" s="502"/>
      <c r="D482" s="502"/>
      <c r="E482" s="502"/>
      <c r="F482" s="502"/>
      <c r="G482" s="502"/>
      <c r="H482" s="502"/>
      <c r="I482" s="502"/>
      <c r="J482" s="502"/>
    </row>
    <row r="483" spans="2:10" s="168" customFormat="1" ht="15" customHeight="1">
      <c r="B483" s="495" t="s">
        <v>779</v>
      </c>
      <c r="C483" s="496"/>
      <c r="D483" s="496"/>
      <c r="E483" s="169">
        <v>1004183</v>
      </c>
      <c r="F483" s="497">
        <v>0</v>
      </c>
      <c r="G483" s="497"/>
      <c r="H483" s="497"/>
      <c r="J483" s="169">
        <v>1004183</v>
      </c>
    </row>
    <row r="484" spans="2:10" ht="30" customHeight="1">
      <c r="B484" s="501" t="s">
        <v>772</v>
      </c>
      <c r="C484" s="502"/>
      <c r="D484" s="502"/>
      <c r="E484" s="164">
        <v>1004183</v>
      </c>
      <c r="F484" s="503">
        <v>0</v>
      </c>
      <c r="G484" s="503"/>
      <c r="H484" s="503"/>
      <c r="J484" s="164">
        <v>1004183</v>
      </c>
    </row>
    <row r="485" ht="9" customHeight="1"/>
    <row r="486" spans="1:10" ht="15">
      <c r="A486" s="504" t="s">
        <v>1082</v>
      </c>
      <c r="B486" s="502"/>
      <c r="C486" s="502"/>
      <c r="D486" s="502"/>
      <c r="E486" s="502"/>
      <c r="F486" s="502"/>
      <c r="G486" s="502"/>
      <c r="H486" s="502"/>
      <c r="I486" s="502"/>
      <c r="J486" s="502"/>
    </row>
    <row r="487" spans="2:10" s="168" customFormat="1" ht="15" customHeight="1">
      <c r="B487" s="495" t="s">
        <v>779</v>
      </c>
      <c r="C487" s="496"/>
      <c r="D487" s="496"/>
      <c r="E487" s="169">
        <v>14298545</v>
      </c>
      <c r="F487" s="497">
        <v>26288</v>
      </c>
      <c r="G487" s="500"/>
      <c r="H487" s="500"/>
      <c r="J487" s="169">
        <v>14324833</v>
      </c>
    </row>
    <row r="488" spans="2:10" ht="15" customHeight="1">
      <c r="B488" s="501" t="s">
        <v>778</v>
      </c>
      <c r="C488" s="502"/>
      <c r="D488" s="502"/>
      <c r="E488" s="164">
        <v>9554402</v>
      </c>
      <c r="F488" s="503">
        <v>-830</v>
      </c>
      <c r="G488" s="499"/>
      <c r="H488" s="499"/>
      <c r="J488" s="164">
        <v>9553572</v>
      </c>
    </row>
    <row r="489" spans="2:10" ht="15" customHeight="1">
      <c r="B489" s="501" t="s">
        <v>777</v>
      </c>
      <c r="C489" s="502"/>
      <c r="D489" s="502"/>
      <c r="E489" s="164">
        <v>1133537</v>
      </c>
      <c r="F489" s="503">
        <v>20230</v>
      </c>
      <c r="G489" s="499"/>
      <c r="H489" s="499"/>
      <c r="J489" s="164">
        <v>1153767</v>
      </c>
    </row>
    <row r="490" spans="2:10" ht="15" customHeight="1">
      <c r="B490" s="501" t="s">
        <v>776</v>
      </c>
      <c r="C490" s="502"/>
      <c r="D490" s="502"/>
      <c r="E490" s="164">
        <v>2629155</v>
      </c>
      <c r="F490" s="503">
        <v>0</v>
      </c>
      <c r="G490" s="503"/>
      <c r="H490" s="503"/>
      <c r="J490" s="164">
        <v>2629155</v>
      </c>
    </row>
    <row r="491" spans="2:10" ht="15" customHeight="1">
      <c r="B491" s="501" t="s">
        <v>774</v>
      </c>
      <c r="C491" s="502"/>
      <c r="D491" s="502"/>
      <c r="E491" s="164">
        <v>981451</v>
      </c>
      <c r="F491" s="503">
        <v>6058</v>
      </c>
      <c r="G491" s="499"/>
      <c r="H491" s="499"/>
      <c r="J491" s="164">
        <v>987509</v>
      </c>
    </row>
    <row r="492" spans="2:10" ht="30" customHeight="1">
      <c r="B492" s="501" t="s">
        <v>772</v>
      </c>
      <c r="C492" s="502"/>
      <c r="D492" s="502"/>
      <c r="E492" s="164">
        <v>0</v>
      </c>
      <c r="F492" s="503">
        <v>830</v>
      </c>
      <c r="G492" s="499"/>
      <c r="H492" s="499"/>
      <c r="J492" s="164">
        <v>830</v>
      </c>
    </row>
    <row r="493" ht="9" customHeight="1"/>
    <row r="494" spans="1:10" ht="19.5" customHeight="1">
      <c r="A494" s="504" t="s">
        <v>874</v>
      </c>
      <c r="B494" s="502"/>
      <c r="C494" s="502"/>
      <c r="D494" s="502"/>
      <c r="E494" s="502"/>
      <c r="F494" s="502"/>
      <c r="G494" s="502"/>
      <c r="H494" s="502"/>
      <c r="I494" s="502"/>
      <c r="J494" s="502"/>
    </row>
    <row r="495" spans="2:10" s="168" customFormat="1" ht="15" customHeight="1">
      <c r="B495" s="495" t="s">
        <v>779</v>
      </c>
      <c r="C495" s="496"/>
      <c r="D495" s="496"/>
      <c r="E495" s="169">
        <v>5124</v>
      </c>
      <c r="F495" s="497">
        <v>0</v>
      </c>
      <c r="G495" s="497"/>
      <c r="H495" s="497"/>
      <c r="J495" s="169">
        <v>5124</v>
      </c>
    </row>
    <row r="496" spans="2:10" ht="15" customHeight="1">
      <c r="B496" s="501" t="s">
        <v>777</v>
      </c>
      <c r="C496" s="502"/>
      <c r="D496" s="502"/>
      <c r="E496" s="164">
        <v>5124</v>
      </c>
      <c r="F496" s="503">
        <v>0</v>
      </c>
      <c r="G496" s="503"/>
      <c r="H496" s="503"/>
      <c r="J496" s="164">
        <v>5124</v>
      </c>
    </row>
    <row r="497" ht="9" customHeight="1"/>
    <row r="498" spans="1:10" ht="19.5" customHeight="1">
      <c r="A498" s="504" t="s">
        <v>809</v>
      </c>
      <c r="B498" s="502"/>
      <c r="C498" s="502"/>
      <c r="D498" s="502"/>
      <c r="E498" s="502"/>
      <c r="F498" s="502"/>
      <c r="G498" s="502"/>
      <c r="H498" s="502"/>
      <c r="I498" s="502"/>
      <c r="J498" s="502"/>
    </row>
    <row r="499" spans="2:10" s="168" customFormat="1" ht="15" customHeight="1">
      <c r="B499" s="495" t="s">
        <v>779</v>
      </c>
      <c r="C499" s="496"/>
      <c r="D499" s="496"/>
      <c r="E499" s="169">
        <v>21194610</v>
      </c>
      <c r="F499" s="497">
        <v>88989</v>
      </c>
      <c r="G499" s="500"/>
      <c r="H499" s="500"/>
      <c r="J499" s="169">
        <v>21283599</v>
      </c>
    </row>
    <row r="500" spans="2:10" ht="15" customHeight="1">
      <c r="B500" s="501" t="s">
        <v>778</v>
      </c>
      <c r="C500" s="502"/>
      <c r="D500" s="502"/>
      <c r="E500" s="164">
        <v>18357787</v>
      </c>
      <c r="F500" s="503">
        <v>3028</v>
      </c>
      <c r="G500" s="499"/>
      <c r="H500" s="499"/>
      <c r="J500" s="164">
        <v>18360815</v>
      </c>
    </row>
    <row r="501" spans="2:10" ht="15" customHeight="1">
      <c r="B501" s="501" t="s">
        <v>777</v>
      </c>
      <c r="C501" s="502"/>
      <c r="D501" s="502"/>
      <c r="E501" s="164">
        <v>1865642</v>
      </c>
      <c r="F501" s="503">
        <v>48339</v>
      </c>
      <c r="G501" s="499"/>
      <c r="H501" s="499"/>
      <c r="J501" s="164">
        <v>1913981</v>
      </c>
    </row>
    <row r="502" spans="2:10" ht="15" customHeight="1">
      <c r="B502" s="501" t="s">
        <v>776</v>
      </c>
      <c r="C502" s="502"/>
      <c r="D502" s="502"/>
      <c r="E502" s="164">
        <v>382002</v>
      </c>
      <c r="F502" s="503">
        <v>0</v>
      </c>
      <c r="G502" s="503"/>
      <c r="H502" s="503"/>
      <c r="J502" s="164">
        <v>382002</v>
      </c>
    </row>
    <row r="503" spans="2:10" ht="15" customHeight="1">
      <c r="B503" s="501" t="s">
        <v>774</v>
      </c>
      <c r="C503" s="502"/>
      <c r="D503" s="502"/>
      <c r="E503" s="164">
        <v>544404</v>
      </c>
      <c r="F503" s="503">
        <v>32668</v>
      </c>
      <c r="G503" s="499"/>
      <c r="H503" s="499"/>
      <c r="J503" s="164">
        <v>577072</v>
      </c>
    </row>
    <row r="504" spans="2:10" ht="15" customHeight="1">
      <c r="B504" s="501" t="s">
        <v>773</v>
      </c>
      <c r="C504" s="502"/>
      <c r="D504" s="502"/>
      <c r="E504" s="164">
        <v>44775</v>
      </c>
      <c r="F504" s="503">
        <v>0</v>
      </c>
      <c r="G504" s="503"/>
      <c r="H504" s="503"/>
      <c r="J504" s="164">
        <v>44775</v>
      </c>
    </row>
    <row r="505" spans="2:10" ht="30" customHeight="1">
      <c r="B505" s="501" t="s">
        <v>772</v>
      </c>
      <c r="C505" s="502"/>
      <c r="D505" s="502"/>
      <c r="E505" s="164">
        <v>0</v>
      </c>
      <c r="F505" s="503">
        <v>4954</v>
      </c>
      <c r="G505" s="499"/>
      <c r="H505" s="499"/>
      <c r="J505" s="164">
        <v>4954</v>
      </c>
    </row>
    <row r="506" ht="9" customHeight="1"/>
    <row r="507" spans="1:10" ht="19.5" customHeight="1">
      <c r="A507" s="504" t="s">
        <v>1083</v>
      </c>
      <c r="B507" s="502"/>
      <c r="C507" s="502"/>
      <c r="D507" s="502"/>
      <c r="E507" s="502"/>
      <c r="F507" s="502"/>
      <c r="G507" s="502"/>
      <c r="H507" s="502"/>
      <c r="I507" s="502"/>
      <c r="J507" s="502"/>
    </row>
    <row r="508" spans="2:10" s="168" customFormat="1" ht="15" customHeight="1">
      <c r="B508" s="495" t="s">
        <v>779</v>
      </c>
      <c r="C508" s="496"/>
      <c r="D508" s="496"/>
      <c r="E508" s="169">
        <v>1836343</v>
      </c>
      <c r="F508" s="497">
        <v>3281</v>
      </c>
      <c r="G508" s="500"/>
      <c r="H508" s="500"/>
      <c r="J508" s="169">
        <v>1839624</v>
      </c>
    </row>
    <row r="509" spans="2:10" ht="15" customHeight="1">
      <c r="B509" s="501" t="s">
        <v>778</v>
      </c>
      <c r="C509" s="502"/>
      <c r="D509" s="502"/>
      <c r="E509" s="164">
        <v>1470274</v>
      </c>
      <c r="F509" s="503">
        <v>14471</v>
      </c>
      <c r="G509" s="499"/>
      <c r="H509" s="499"/>
      <c r="J509" s="164">
        <v>1484745</v>
      </c>
    </row>
    <row r="510" spans="2:10" ht="15" customHeight="1">
      <c r="B510" s="501" t="s">
        <v>777</v>
      </c>
      <c r="C510" s="502"/>
      <c r="D510" s="502"/>
      <c r="E510" s="164">
        <v>349195</v>
      </c>
      <c r="F510" s="503">
        <v>-14777</v>
      </c>
      <c r="G510" s="499"/>
      <c r="H510" s="499"/>
      <c r="J510" s="164">
        <v>334418</v>
      </c>
    </row>
    <row r="511" spans="2:10" ht="15" customHeight="1">
      <c r="B511" s="501" t="s">
        <v>774</v>
      </c>
      <c r="C511" s="502"/>
      <c r="D511" s="502"/>
      <c r="E511" s="164">
        <v>16874</v>
      </c>
      <c r="F511" s="503">
        <v>3566</v>
      </c>
      <c r="G511" s="499"/>
      <c r="H511" s="499"/>
      <c r="J511" s="164">
        <v>20440</v>
      </c>
    </row>
    <row r="512" spans="2:10" ht="30" customHeight="1">
      <c r="B512" s="501" t="s">
        <v>772</v>
      </c>
      <c r="C512" s="502"/>
      <c r="D512" s="502"/>
      <c r="E512" s="164">
        <v>0</v>
      </c>
      <c r="F512" s="503">
        <v>21</v>
      </c>
      <c r="G512" s="499"/>
      <c r="H512" s="499"/>
      <c r="J512" s="164">
        <v>21</v>
      </c>
    </row>
    <row r="513" ht="9" customHeight="1"/>
    <row r="514" spans="1:10" ht="19.5" customHeight="1">
      <c r="A514" s="504" t="s">
        <v>808</v>
      </c>
      <c r="B514" s="502"/>
      <c r="C514" s="502"/>
      <c r="D514" s="502"/>
      <c r="E514" s="502"/>
      <c r="F514" s="502"/>
      <c r="G514" s="502"/>
      <c r="H514" s="502"/>
      <c r="I514" s="502"/>
      <c r="J514" s="502"/>
    </row>
    <row r="515" spans="2:10" s="168" customFormat="1" ht="15" customHeight="1">
      <c r="B515" s="495" t="s">
        <v>779</v>
      </c>
      <c r="C515" s="496"/>
      <c r="D515" s="496"/>
      <c r="E515" s="169">
        <v>270030</v>
      </c>
      <c r="F515" s="497">
        <v>286450</v>
      </c>
      <c r="G515" s="500"/>
      <c r="H515" s="500"/>
      <c r="J515" s="169">
        <v>556480</v>
      </c>
    </row>
    <row r="516" spans="2:10" ht="15" customHeight="1">
      <c r="B516" s="501" t="s">
        <v>778</v>
      </c>
      <c r="C516" s="502"/>
      <c r="D516" s="502"/>
      <c r="E516" s="164">
        <v>11863</v>
      </c>
      <c r="F516" s="503">
        <v>2001</v>
      </c>
      <c r="G516" s="499"/>
      <c r="H516" s="499"/>
      <c r="J516" s="164">
        <v>13864</v>
      </c>
    </row>
    <row r="517" spans="2:10" ht="15" customHeight="1">
      <c r="B517" s="501" t="s">
        <v>777</v>
      </c>
      <c r="C517" s="502"/>
      <c r="D517" s="502"/>
      <c r="E517" s="164">
        <v>249577</v>
      </c>
      <c r="F517" s="503">
        <v>183824</v>
      </c>
      <c r="G517" s="499"/>
      <c r="H517" s="499"/>
      <c r="J517" s="164">
        <v>433401</v>
      </c>
    </row>
    <row r="518" spans="2:10" ht="15" customHeight="1">
      <c r="B518" s="501" t="s">
        <v>776</v>
      </c>
      <c r="C518" s="502"/>
      <c r="D518" s="502"/>
      <c r="E518" s="164">
        <v>0</v>
      </c>
      <c r="F518" s="503">
        <v>7800</v>
      </c>
      <c r="G518" s="499"/>
      <c r="H518" s="499"/>
      <c r="J518" s="164">
        <v>7800</v>
      </c>
    </row>
    <row r="519" spans="2:10" ht="15" customHeight="1">
      <c r="B519" s="501" t="s">
        <v>774</v>
      </c>
      <c r="C519" s="502"/>
      <c r="D519" s="502"/>
      <c r="E519" s="164">
        <v>8590</v>
      </c>
      <c r="F519" s="503">
        <v>-8590</v>
      </c>
      <c r="G519" s="499"/>
      <c r="H519" s="499"/>
      <c r="J519" s="164">
        <v>0</v>
      </c>
    </row>
    <row r="520" spans="2:10" ht="30" customHeight="1">
      <c r="B520" s="501" t="s">
        <v>772</v>
      </c>
      <c r="C520" s="502"/>
      <c r="D520" s="502"/>
      <c r="E520" s="164">
        <v>0</v>
      </c>
      <c r="F520" s="503">
        <v>101415</v>
      </c>
      <c r="G520" s="499"/>
      <c r="H520" s="499"/>
      <c r="J520" s="164">
        <v>101415</v>
      </c>
    </row>
    <row r="521" ht="9" customHeight="1"/>
    <row r="522" spans="1:10" ht="31.5" customHeight="1">
      <c r="A522" s="504" t="s">
        <v>1024</v>
      </c>
      <c r="B522" s="502"/>
      <c r="C522" s="502"/>
      <c r="D522" s="502"/>
      <c r="E522" s="502"/>
      <c r="F522" s="502"/>
      <c r="G522" s="502"/>
      <c r="H522" s="502"/>
      <c r="I522" s="502"/>
      <c r="J522" s="502"/>
    </row>
    <row r="523" spans="2:10" s="168" customFormat="1" ht="15" customHeight="1">
      <c r="B523" s="495" t="s">
        <v>779</v>
      </c>
      <c r="C523" s="496"/>
      <c r="D523" s="496"/>
      <c r="E523" s="169">
        <v>1113269</v>
      </c>
      <c r="F523" s="497">
        <v>0</v>
      </c>
      <c r="G523" s="497"/>
      <c r="H523" s="497"/>
      <c r="J523" s="169">
        <v>1113269</v>
      </c>
    </row>
    <row r="524" spans="2:10" ht="15" customHeight="1">
      <c r="B524" s="501" t="s">
        <v>774</v>
      </c>
      <c r="C524" s="502"/>
      <c r="D524" s="502"/>
      <c r="E524" s="164">
        <v>1113269</v>
      </c>
      <c r="F524" s="503">
        <v>0</v>
      </c>
      <c r="G524" s="503"/>
      <c r="H524" s="503"/>
      <c r="J524" s="164">
        <v>1113269</v>
      </c>
    </row>
    <row r="525" ht="9" customHeight="1"/>
    <row r="526" spans="1:10" ht="19.5" customHeight="1">
      <c r="A526" s="504" t="s">
        <v>807</v>
      </c>
      <c r="B526" s="502"/>
      <c r="C526" s="502"/>
      <c r="D526" s="502"/>
      <c r="E526" s="502"/>
      <c r="F526" s="502"/>
      <c r="G526" s="502"/>
      <c r="H526" s="502"/>
      <c r="I526" s="502"/>
      <c r="J526" s="502"/>
    </row>
    <row r="527" spans="2:10" s="168" customFormat="1" ht="15" customHeight="1">
      <c r="B527" s="495" t="s">
        <v>779</v>
      </c>
      <c r="C527" s="496"/>
      <c r="D527" s="496"/>
      <c r="E527" s="169">
        <v>2064413</v>
      </c>
      <c r="F527" s="497">
        <v>1980</v>
      </c>
      <c r="G527" s="500"/>
      <c r="H527" s="500"/>
      <c r="J527" s="169">
        <v>2066393</v>
      </c>
    </row>
    <row r="528" spans="2:10" ht="15" customHeight="1">
      <c r="B528" s="501" t="s">
        <v>778</v>
      </c>
      <c r="C528" s="502"/>
      <c r="D528" s="502"/>
      <c r="E528" s="164">
        <v>1787895</v>
      </c>
      <c r="F528" s="503">
        <v>-83</v>
      </c>
      <c r="G528" s="499"/>
      <c r="H528" s="499"/>
      <c r="J528" s="164">
        <v>1787812</v>
      </c>
    </row>
    <row r="529" spans="2:10" ht="15" customHeight="1">
      <c r="B529" s="501" t="s">
        <v>777</v>
      </c>
      <c r="C529" s="502"/>
      <c r="D529" s="502"/>
      <c r="E529" s="164">
        <v>188282</v>
      </c>
      <c r="F529" s="503">
        <v>2770</v>
      </c>
      <c r="G529" s="499"/>
      <c r="H529" s="499"/>
      <c r="J529" s="164">
        <v>191052</v>
      </c>
    </row>
    <row r="530" spans="2:10" ht="15" customHeight="1">
      <c r="B530" s="501" t="s">
        <v>774</v>
      </c>
      <c r="C530" s="502"/>
      <c r="D530" s="502"/>
      <c r="E530" s="164">
        <v>2291</v>
      </c>
      <c r="F530" s="503">
        <v>-790</v>
      </c>
      <c r="G530" s="499"/>
      <c r="H530" s="499"/>
      <c r="J530" s="164">
        <v>1501</v>
      </c>
    </row>
    <row r="531" spans="2:10" ht="15" customHeight="1">
      <c r="B531" s="501" t="s">
        <v>773</v>
      </c>
      <c r="C531" s="502"/>
      <c r="D531" s="502"/>
      <c r="E531" s="164">
        <v>85945</v>
      </c>
      <c r="F531" s="503">
        <v>0</v>
      </c>
      <c r="G531" s="503"/>
      <c r="H531" s="503"/>
      <c r="J531" s="164">
        <v>85945</v>
      </c>
    </row>
    <row r="532" spans="2:10" ht="30" customHeight="1">
      <c r="B532" s="501" t="s">
        <v>772</v>
      </c>
      <c r="C532" s="502"/>
      <c r="D532" s="502"/>
      <c r="E532" s="164">
        <v>0</v>
      </c>
      <c r="F532" s="503">
        <v>83</v>
      </c>
      <c r="G532" s="499"/>
      <c r="H532" s="499"/>
      <c r="J532" s="164">
        <v>83</v>
      </c>
    </row>
    <row r="533" ht="9" customHeight="1"/>
    <row r="534" spans="1:10" ht="19.5" customHeight="1">
      <c r="A534" s="504" t="s">
        <v>806</v>
      </c>
      <c r="B534" s="502"/>
      <c r="C534" s="502"/>
      <c r="D534" s="502"/>
      <c r="E534" s="502"/>
      <c r="F534" s="502"/>
      <c r="G534" s="502"/>
      <c r="H534" s="502"/>
      <c r="I534" s="502"/>
      <c r="J534" s="502"/>
    </row>
    <row r="535" spans="2:10" s="168" customFormat="1" ht="15" customHeight="1">
      <c r="B535" s="495" t="s">
        <v>779</v>
      </c>
      <c r="C535" s="496"/>
      <c r="D535" s="496"/>
      <c r="E535" s="169">
        <v>163559</v>
      </c>
      <c r="F535" s="497">
        <v>0</v>
      </c>
      <c r="G535" s="497"/>
      <c r="H535" s="497"/>
      <c r="J535" s="169">
        <v>163559</v>
      </c>
    </row>
    <row r="536" spans="2:10" ht="15" customHeight="1">
      <c r="B536" s="501" t="s">
        <v>778</v>
      </c>
      <c r="C536" s="502"/>
      <c r="D536" s="502"/>
      <c r="E536" s="164">
        <v>38520</v>
      </c>
      <c r="F536" s="503">
        <v>0</v>
      </c>
      <c r="G536" s="503"/>
      <c r="H536" s="503"/>
      <c r="J536" s="164">
        <v>38520</v>
      </c>
    </row>
    <row r="537" spans="2:10" ht="15" customHeight="1">
      <c r="B537" s="501" t="s">
        <v>777</v>
      </c>
      <c r="C537" s="502"/>
      <c r="D537" s="502"/>
      <c r="E537" s="164">
        <v>125039</v>
      </c>
      <c r="F537" s="503">
        <v>-4168</v>
      </c>
      <c r="G537" s="499"/>
      <c r="H537" s="499"/>
      <c r="J537" s="164">
        <v>120871</v>
      </c>
    </row>
    <row r="538" spans="2:10" ht="30" customHeight="1">
      <c r="B538" s="501" t="s">
        <v>772</v>
      </c>
      <c r="C538" s="502"/>
      <c r="D538" s="502"/>
      <c r="E538" s="164">
        <v>0</v>
      </c>
      <c r="F538" s="503">
        <v>4168</v>
      </c>
      <c r="G538" s="499"/>
      <c r="H538" s="499"/>
      <c r="J538" s="164">
        <v>4168</v>
      </c>
    </row>
    <row r="539" ht="9" customHeight="1"/>
    <row r="540" spans="1:10" ht="36.75" customHeight="1">
      <c r="A540" s="504" t="s">
        <v>1023</v>
      </c>
      <c r="B540" s="502"/>
      <c r="C540" s="502"/>
      <c r="D540" s="502"/>
      <c r="E540" s="502"/>
      <c r="F540" s="502"/>
      <c r="G540" s="502"/>
      <c r="H540" s="502"/>
      <c r="I540" s="502"/>
      <c r="J540" s="502"/>
    </row>
    <row r="541" spans="2:10" s="168" customFormat="1" ht="15" customHeight="1">
      <c r="B541" s="495" t="s">
        <v>779</v>
      </c>
      <c r="C541" s="496"/>
      <c r="D541" s="496"/>
      <c r="E541" s="169">
        <v>1749214</v>
      </c>
      <c r="F541" s="497">
        <v>-86366</v>
      </c>
      <c r="G541" s="500"/>
      <c r="H541" s="500"/>
      <c r="J541" s="169">
        <v>1662848</v>
      </c>
    </row>
    <row r="542" spans="2:10" ht="15" customHeight="1">
      <c r="B542" s="501" t="s">
        <v>778</v>
      </c>
      <c r="C542" s="502"/>
      <c r="D542" s="502"/>
      <c r="E542" s="164">
        <v>1489396</v>
      </c>
      <c r="F542" s="503">
        <v>-102058</v>
      </c>
      <c r="G542" s="499"/>
      <c r="H542" s="499"/>
      <c r="J542" s="164">
        <v>1387338</v>
      </c>
    </row>
    <row r="543" spans="2:10" ht="15" customHeight="1">
      <c r="B543" s="501" t="s">
        <v>777</v>
      </c>
      <c r="C543" s="502"/>
      <c r="D543" s="502"/>
      <c r="E543" s="164">
        <v>215940</v>
      </c>
      <c r="F543" s="503">
        <v>8683</v>
      </c>
      <c r="G543" s="499"/>
      <c r="H543" s="499"/>
      <c r="J543" s="164">
        <v>224623</v>
      </c>
    </row>
    <row r="544" spans="2:10" ht="15" customHeight="1">
      <c r="B544" s="501" t="s">
        <v>776</v>
      </c>
      <c r="C544" s="502"/>
      <c r="D544" s="502"/>
      <c r="E544" s="164">
        <v>43878</v>
      </c>
      <c r="F544" s="503">
        <v>0</v>
      </c>
      <c r="G544" s="503"/>
      <c r="H544" s="503"/>
      <c r="J544" s="164">
        <v>43878</v>
      </c>
    </row>
    <row r="545" spans="2:10" ht="15" customHeight="1">
      <c r="B545" s="501" t="s">
        <v>774</v>
      </c>
      <c r="C545" s="502"/>
      <c r="D545" s="502"/>
      <c r="E545" s="164">
        <v>0</v>
      </c>
      <c r="F545" s="503">
        <v>7000</v>
      </c>
      <c r="G545" s="499"/>
      <c r="H545" s="499"/>
      <c r="J545" s="164">
        <v>7000</v>
      </c>
    </row>
    <row r="546" spans="2:10" ht="30" customHeight="1">
      <c r="B546" s="501" t="s">
        <v>772</v>
      </c>
      <c r="C546" s="502"/>
      <c r="D546" s="502"/>
      <c r="E546" s="164">
        <v>0</v>
      </c>
      <c r="F546" s="503">
        <v>9</v>
      </c>
      <c r="G546" s="499"/>
      <c r="H546" s="499"/>
      <c r="J546" s="164">
        <v>9</v>
      </c>
    </row>
    <row r="547" ht="9" customHeight="1"/>
    <row r="548" spans="1:10" ht="19.5" customHeight="1">
      <c r="A548" s="504" t="s">
        <v>805</v>
      </c>
      <c r="B548" s="502"/>
      <c r="C548" s="502"/>
      <c r="D548" s="502"/>
      <c r="E548" s="502"/>
      <c r="F548" s="502"/>
      <c r="G548" s="502"/>
      <c r="H548" s="502"/>
      <c r="I548" s="502"/>
      <c r="J548" s="502"/>
    </row>
    <row r="549" spans="2:10" s="168" customFormat="1" ht="15" customHeight="1">
      <c r="B549" s="495" t="s">
        <v>779</v>
      </c>
      <c r="C549" s="496"/>
      <c r="D549" s="496"/>
      <c r="E549" s="169">
        <v>373224</v>
      </c>
      <c r="F549" s="497">
        <v>0</v>
      </c>
      <c r="G549" s="497"/>
      <c r="H549" s="497"/>
      <c r="J549" s="169">
        <v>373224</v>
      </c>
    </row>
    <row r="550" spans="2:10" ht="15" customHeight="1">
      <c r="B550" s="501" t="s">
        <v>778</v>
      </c>
      <c r="C550" s="502"/>
      <c r="D550" s="502"/>
      <c r="E550" s="164">
        <v>319099</v>
      </c>
      <c r="F550" s="503">
        <v>0</v>
      </c>
      <c r="G550" s="503"/>
      <c r="H550" s="503"/>
      <c r="J550" s="164">
        <v>319099</v>
      </c>
    </row>
    <row r="551" spans="2:10" ht="15" customHeight="1">
      <c r="B551" s="501" t="s">
        <v>777</v>
      </c>
      <c r="C551" s="502"/>
      <c r="D551" s="502"/>
      <c r="E551" s="164">
        <v>53046</v>
      </c>
      <c r="F551" s="503">
        <v>-2924</v>
      </c>
      <c r="G551" s="499"/>
      <c r="H551" s="499"/>
      <c r="J551" s="164">
        <v>50122</v>
      </c>
    </row>
    <row r="552" spans="2:10" ht="15" customHeight="1">
      <c r="B552" s="501" t="s">
        <v>774</v>
      </c>
      <c r="C552" s="502"/>
      <c r="D552" s="502"/>
      <c r="E552" s="164">
        <v>0</v>
      </c>
      <c r="F552" s="503">
        <v>2924</v>
      </c>
      <c r="G552" s="499"/>
      <c r="H552" s="499"/>
      <c r="J552" s="164">
        <v>2924</v>
      </c>
    </row>
    <row r="553" spans="2:10" ht="30" customHeight="1">
      <c r="B553" s="501" t="s">
        <v>772</v>
      </c>
      <c r="C553" s="502"/>
      <c r="D553" s="502"/>
      <c r="E553" s="164">
        <v>1079</v>
      </c>
      <c r="F553" s="503">
        <v>0</v>
      </c>
      <c r="G553" s="503"/>
      <c r="H553" s="503"/>
      <c r="J553" s="164">
        <v>1079</v>
      </c>
    </row>
    <row r="554" ht="9" customHeight="1"/>
    <row r="555" spans="1:10" ht="19.5" customHeight="1">
      <c r="A555" s="504" t="s">
        <v>804</v>
      </c>
      <c r="B555" s="502"/>
      <c r="C555" s="502"/>
      <c r="D555" s="502"/>
      <c r="E555" s="502"/>
      <c r="F555" s="502"/>
      <c r="G555" s="502"/>
      <c r="H555" s="502"/>
      <c r="I555" s="502"/>
      <c r="J555" s="502"/>
    </row>
    <row r="556" spans="2:10" s="168" customFormat="1" ht="15" customHeight="1">
      <c r="B556" s="495" t="s">
        <v>779</v>
      </c>
      <c r="C556" s="496"/>
      <c r="D556" s="496"/>
      <c r="E556" s="169">
        <v>1509887</v>
      </c>
      <c r="F556" s="497">
        <v>0</v>
      </c>
      <c r="G556" s="497"/>
      <c r="H556" s="497"/>
      <c r="J556" s="169">
        <v>1509887</v>
      </c>
    </row>
    <row r="557" spans="2:10" ht="15" customHeight="1">
      <c r="B557" s="501" t="s">
        <v>777</v>
      </c>
      <c r="C557" s="502"/>
      <c r="D557" s="502"/>
      <c r="E557" s="164">
        <v>1509887</v>
      </c>
      <c r="F557" s="503">
        <v>0</v>
      </c>
      <c r="G557" s="503"/>
      <c r="H557" s="503"/>
      <c r="J557" s="164">
        <v>1509887</v>
      </c>
    </row>
    <row r="558" ht="9" customHeight="1"/>
    <row r="559" spans="1:10" ht="31.5" customHeight="1">
      <c r="A559" s="504" t="s">
        <v>1022</v>
      </c>
      <c r="B559" s="502"/>
      <c r="C559" s="502"/>
      <c r="D559" s="502"/>
      <c r="E559" s="502"/>
      <c r="F559" s="502"/>
      <c r="G559" s="502"/>
      <c r="H559" s="502"/>
      <c r="I559" s="502"/>
      <c r="J559" s="502"/>
    </row>
    <row r="560" spans="2:10" s="168" customFormat="1" ht="15" customHeight="1">
      <c r="B560" s="495" t="s">
        <v>779</v>
      </c>
      <c r="C560" s="496"/>
      <c r="D560" s="496"/>
      <c r="E560" s="169">
        <v>142812</v>
      </c>
      <c r="F560" s="497">
        <v>0</v>
      </c>
      <c r="G560" s="497"/>
      <c r="H560" s="497"/>
      <c r="J560" s="169">
        <v>142812</v>
      </c>
    </row>
    <row r="561" spans="2:10" ht="15" customHeight="1">
      <c r="B561" s="501" t="s">
        <v>778</v>
      </c>
      <c r="C561" s="502"/>
      <c r="D561" s="502"/>
      <c r="E561" s="164">
        <v>86829</v>
      </c>
      <c r="F561" s="503">
        <v>0</v>
      </c>
      <c r="G561" s="503"/>
      <c r="H561" s="503"/>
      <c r="J561" s="164">
        <v>86829</v>
      </c>
    </row>
    <row r="562" spans="2:10" ht="15" customHeight="1">
      <c r="B562" s="501" t="s">
        <v>777</v>
      </c>
      <c r="C562" s="502"/>
      <c r="D562" s="502"/>
      <c r="E562" s="164">
        <v>55983</v>
      </c>
      <c r="F562" s="503">
        <v>-5898</v>
      </c>
      <c r="G562" s="499"/>
      <c r="H562" s="499"/>
      <c r="J562" s="164">
        <v>50085</v>
      </c>
    </row>
    <row r="563" spans="2:10" ht="15" customHeight="1">
      <c r="B563" s="501" t="s">
        <v>774</v>
      </c>
      <c r="C563" s="502"/>
      <c r="D563" s="502"/>
      <c r="E563" s="164">
        <v>0</v>
      </c>
      <c r="F563" s="503">
        <v>5898</v>
      </c>
      <c r="G563" s="499"/>
      <c r="H563" s="499"/>
      <c r="J563" s="164">
        <v>5898</v>
      </c>
    </row>
    <row r="564" ht="9" customHeight="1"/>
    <row r="565" spans="1:10" ht="19.5" customHeight="1">
      <c r="A565" s="504" t="s">
        <v>803</v>
      </c>
      <c r="B565" s="502"/>
      <c r="C565" s="502"/>
      <c r="D565" s="502"/>
      <c r="E565" s="502"/>
      <c r="F565" s="502"/>
      <c r="G565" s="502"/>
      <c r="H565" s="502"/>
      <c r="I565" s="502"/>
      <c r="J565" s="502"/>
    </row>
    <row r="566" spans="2:10" s="168" customFormat="1" ht="15" customHeight="1">
      <c r="B566" s="495" t="s">
        <v>779</v>
      </c>
      <c r="C566" s="496"/>
      <c r="D566" s="496"/>
      <c r="E566" s="169">
        <v>35000</v>
      </c>
      <c r="F566" s="497">
        <v>0</v>
      </c>
      <c r="G566" s="497"/>
      <c r="H566" s="497"/>
      <c r="J566" s="169">
        <v>35000</v>
      </c>
    </row>
    <row r="567" spans="2:10" ht="15" customHeight="1">
      <c r="B567" s="501" t="s">
        <v>778</v>
      </c>
      <c r="C567" s="502"/>
      <c r="D567" s="502"/>
      <c r="E567" s="164">
        <v>35000</v>
      </c>
      <c r="F567" s="503">
        <v>0</v>
      </c>
      <c r="G567" s="503"/>
      <c r="H567" s="503"/>
      <c r="J567" s="164">
        <v>35000</v>
      </c>
    </row>
    <row r="568" ht="9" customHeight="1"/>
    <row r="569" spans="1:10" ht="31.5" customHeight="1">
      <c r="A569" s="504" t="s">
        <v>802</v>
      </c>
      <c r="B569" s="502"/>
      <c r="C569" s="502"/>
      <c r="D569" s="502"/>
      <c r="E569" s="502"/>
      <c r="F569" s="502"/>
      <c r="G569" s="502"/>
      <c r="H569" s="502"/>
      <c r="I569" s="502"/>
      <c r="J569" s="502"/>
    </row>
    <row r="570" spans="2:10" s="168" customFormat="1" ht="15" customHeight="1">
      <c r="B570" s="495" t="s">
        <v>779</v>
      </c>
      <c r="C570" s="496"/>
      <c r="D570" s="496"/>
      <c r="E570" s="169">
        <v>215800</v>
      </c>
      <c r="F570" s="497">
        <v>0</v>
      </c>
      <c r="G570" s="497"/>
      <c r="H570" s="497"/>
      <c r="J570" s="169">
        <v>215800</v>
      </c>
    </row>
    <row r="571" spans="2:10" ht="15" customHeight="1">
      <c r="B571" s="501" t="s">
        <v>778</v>
      </c>
      <c r="C571" s="502"/>
      <c r="D571" s="502"/>
      <c r="E571" s="164">
        <v>128236</v>
      </c>
      <c r="F571" s="503">
        <v>0</v>
      </c>
      <c r="G571" s="503"/>
      <c r="H571" s="503"/>
      <c r="J571" s="164">
        <v>128236</v>
      </c>
    </row>
    <row r="572" spans="2:10" ht="15" customHeight="1">
      <c r="B572" s="501" t="s">
        <v>777</v>
      </c>
      <c r="C572" s="502"/>
      <c r="D572" s="502"/>
      <c r="E572" s="164">
        <v>87564</v>
      </c>
      <c r="F572" s="503">
        <v>0</v>
      </c>
      <c r="G572" s="503"/>
      <c r="H572" s="503"/>
      <c r="J572" s="164">
        <v>87564</v>
      </c>
    </row>
    <row r="573" ht="9" customHeight="1"/>
    <row r="574" spans="1:10" ht="19.5" customHeight="1">
      <c r="A574" s="504" t="s">
        <v>1021</v>
      </c>
      <c r="B574" s="502"/>
      <c r="C574" s="502"/>
      <c r="D574" s="502"/>
      <c r="E574" s="502"/>
      <c r="F574" s="502"/>
      <c r="G574" s="502"/>
      <c r="H574" s="502"/>
      <c r="I574" s="502"/>
      <c r="J574" s="502"/>
    </row>
    <row r="575" spans="2:10" s="168" customFormat="1" ht="15" customHeight="1">
      <c r="B575" s="495" t="s">
        <v>779</v>
      </c>
      <c r="C575" s="496"/>
      <c r="D575" s="496"/>
      <c r="E575" s="169">
        <v>1157441</v>
      </c>
      <c r="F575" s="497">
        <v>0</v>
      </c>
      <c r="G575" s="497"/>
      <c r="H575" s="497"/>
      <c r="J575" s="169">
        <v>1157441</v>
      </c>
    </row>
    <row r="576" spans="2:10" ht="15" customHeight="1">
      <c r="B576" s="501" t="s">
        <v>778</v>
      </c>
      <c r="C576" s="502"/>
      <c r="D576" s="502"/>
      <c r="E576" s="164">
        <v>1062815</v>
      </c>
      <c r="F576" s="503">
        <v>-3146</v>
      </c>
      <c r="G576" s="499"/>
      <c r="H576" s="499"/>
      <c r="J576" s="164">
        <v>1059669</v>
      </c>
    </row>
    <row r="577" spans="2:10" ht="15" customHeight="1">
      <c r="B577" s="501" t="s">
        <v>777</v>
      </c>
      <c r="C577" s="502"/>
      <c r="D577" s="502"/>
      <c r="E577" s="164">
        <v>89661</v>
      </c>
      <c r="F577" s="503">
        <v>2990</v>
      </c>
      <c r="G577" s="499"/>
      <c r="H577" s="499"/>
      <c r="J577" s="164">
        <v>92651</v>
      </c>
    </row>
    <row r="578" spans="2:10" ht="15" customHeight="1">
      <c r="B578" s="501" t="s">
        <v>774</v>
      </c>
      <c r="C578" s="502"/>
      <c r="D578" s="502"/>
      <c r="E578" s="164">
        <v>4565</v>
      </c>
      <c r="F578" s="503">
        <v>156</v>
      </c>
      <c r="G578" s="499"/>
      <c r="H578" s="499"/>
      <c r="J578" s="164">
        <v>4721</v>
      </c>
    </row>
    <row r="579" spans="2:10" ht="15" customHeight="1">
      <c r="B579" s="501" t="s">
        <v>773</v>
      </c>
      <c r="C579" s="502"/>
      <c r="D579" s="502"/>
      <c r="E579" s="164">
        <v>400</v>
      </c>
      <c r="F579" s="503">
        <v>0</v>
      </c>
      <c r="G579" s="503"/>
      <c r="H579" s="503"/>
      <c r="J579" s="164">
        <v>400</v>
      </c>
    </row>
    <row r="580" ht="9" customHeight="1"/>
    <row r="581" spans="1:10" ht="19.5" customHeight="1">
      <c r="A581" s="504" t="s">
        <v>801</v>
      </c>
      <c r="B581" s="502"/>
      <c r="C581" s="502"/>
      <c r="D581" s="502"/>
      <c r="E581" s="502"/>
      <c r="F581" s="502"/>
      <c r="G581" s="502"/>
      <c r="H581" s="502"/>
      <c r="I581" s="502"/>
      <c r="J581" s="502"/>
    </row>
    <row r="582" spans="2:10" s="168" customFormat="1" ht="15" customHeight="1">
      <c r="B582" s="495" t="s">
        <v>779</v>
      </c>
      <c r="C582" s="496"/>
      <c r="D582" s="496"/>
      <c r="E582" s="169">
        <v>480000</v>
      </c>
      <c r="F582" s="497">
        <v>0</v>
      </c>
      <c r="G582" s="497"/>
      <c r="H582" s="497"/>
      <c r="J582" s="169">
        <v>480000</v>
      </c>
    </row>
    <row r="583" spans="2:10" ht="15" customHeight="1">
      <c r="B583" s="501" t="s">
        <v>773</v>
      </c>
      <c r="C583" s="502"/>
      <c r="D583" s="502"/>
      <c r="E583" s="164">
        <v>480000</v>
      </c>
      <c r="F583" s="503">
        <v>0</v>
      </c>
      <c r="G583" s="503"/>
      <c r="H583" s="503"/>
      <c r="J583" s="164">
        <v>480000</v>
      </c>
    </row>
    <row r="584" ht="9" customHeight="1"/>
    <row r="585" spans="1:10" ht="31.5" customHeight="1">
      <c r="A585" s="509" t="s">
        <v>1020</v>
      </c>
      <c r="B585" s="506"/>
      <c r="C585" s="506"/>
      <c r="D585" s="506"/>
      <c r="E585" s="506"/>
      <c r="F585" s="506"/>
      <c r="G585" s="506"/>
      <c r="H585" s="506"/>
      <c r="I585" s="506"/>
      <c r="J585" s="506"/>
    </row>
    <row r="586" spans="1:10" ht="15" customHeight="1">
      <c r="A586" s="166"/>
      <c r="B586" s="505" t="s">
        <v>779</v>
      </c>
      <c r="C586" s="506"/>
      <c r="D586" s="506"/>
      <c r="E586" s="473">
        <v>395649</v>
      </c>
      <c r="F586" s="507">
        <v>0</v>
      </c>
      <c r="G586" s="507"/>
      <c r="H586" s="507"/>
      <c r="I586" s="166"/>
      <c r="J586" s="473">
        <v>395649</v>
      </c>
    </row>
    <row r="587" spans="1:10" ht="15" customHeight="1">
      <c r="A587" s="166"/>
      <c r="B587" s="505" t="s">
        <v>778</v>
      </c>
      <c r="C587" s="506"/>
      <c r="D587" s="506"/>
      <c r="E587" s="473">
        <v>371801</v>
      </c>
      <c r="F587" s="507">
        <v>0</v>
      </c>
      <c r="G587" s="507"/>
      <c r="H587" s="507"/>
      <c r="I587" s="166"/>
      <c r="J587" s="473">
        <v>371801</v>
      </c>
    </row>
    <row r="588" spans="1:10" ht="15" customHeight="1">
      <c r="A588" s="166"/>
      <c r="B588" s="505" t="s">
        <v>777</v>
      </c>
      <c r="C588" s="506"/>
      <c r="D588" s="506"/>
      <c r="E588" s="473">
        <v>20848</v>
      </c>
      <c r="F588" s="507">
        <v>0</v>
      </c>
      <c r="G588" s="507"/>
      <c r="H588" s="507"/>
      <c r="I588" s="166"/>
      <c r="J588" s="473">
        <v>20848</v>
      </c>
    </row>
    <row r="589" spans="1:10" ht="15" customHeight="1">
      <c r="A589" s="166"/>
      <c r="B589" s="505" t="s">
        <v>774</v>
      </c>
      <c r="C589" s="506"/>
      <c r="D589" s="506"/>
      <c r="E589" s="473">
        <v>3000</v>
      </c>
      <c r="F589" s="507">
        <v>0</v>
      </c>
      <c r="G589" s="507"/>
      <c r="H589" s="507"/>
      <c r="I589" s="166"/>
      <c r="J589" s="473">
        <v>3000</v>
      </c>
    </row>
    <row r="590" ht="9" customHeight="1"/>
    <row r="591" spans="1:10" ht="19.5" customHeight="1">
      <c r="A591" s="504" t="s">
        <v>1019</v>
      </c>
      <c r="B591" s="502"/>
      <c r="C591" s="502"/>
      <c r="D591" s="502"/>
      <c r="E591" s="502"/>
      <c r="F591" s="502"/>
      <c r="G591" s="502"/>
      <c r="H591" s="502"/>
      <c r="I591" s="502"/>
      <c r="J591" s="502"/>
    </row>
    <row r="592" spans="2:10" s="168" customFormat="1" ht="15" customHeight="1">
      <c r="B592" s="495" t="s">
        <v>779</v>
      </c>
      <c r="C592" s="496"/>
      <c r="D592" s="496"/>
      <c r="E592" s="169">
        <v>395649</v>
      </c>
      <c r="F592" s="497">
        <v>0</v>
      </c>
      <c r="G592" s="497"/>
      <c r="H592" s="497"/>
      <c r="J592" s="169">
        <v>395649</v>
      </c>
    </row>
    <row r="593" spans="2:10" ht="15" customHeight="1">
      <c r="B593" s="501" t="s">
        <v>778</v>
      </c>
      <c r="C593" s="502"/>
      <c r="D593" s="502"/>
      <c r="E593" s="164">
        <v>371801</v>
      </c>
      <c r="F593" s="503">
        <v>0</v>
      </c>
      <c r="G593" s="503"/>
      <c r="H593" s="503"/>
      <c r="J593" s="164">
        <v>371801</v>
      </c>
    </row>
    <row r="594" spans="2:10" ht="15" customHeight="1">
      <c r="B594" s="501" t="s">
        <v>777</v>
      </c>
      <c r="C594" s="502"/>
      <c r="D594" s="502"/>
      <c r="E594" s="164">
        <v>20848</v>
      </c>
      <c r="F594" s="503">
        <v>0</v>
      </c>
      <c r="G594" s="503"/>
      <c r="H594" s="503"/>
      <c r="J594" s="164">
        <v>20848</v>
      </c>
    </row>
    <row r="595" spans="2:10" ht="15" customHeight="1">
      <c r="B595" s="501" t="s">
        <v>774</v>
      </c>
      <c r="C595" s="502"/>
      <c r="D595" s="502"/>
      <c r="E595" s="164">
        <v>3000</v>
      </c>
      <c r="F595" s="503">
        <v>0</v>
      </c>
      <c r="G595" s="503"/>
      <c r="H595" s="503"/>
      <c r="J595" s="164">
        <v>3000</v>
      </c>
    </row>
    <row r="596" ht="9" customHeight="1"/>
    <row r="597" spans="1:10" ht="31.5" customHeight="1">
      <c r="A597" s="509" t="s">
        <v>1018</v>
      </c>
      <c r="B597" s="506"/>
      <c r="C597" s="506"/>
      <c r="D597" s="506"/>
      <c r="E597" s="506"/>
      <c r="F597" s="506"/>
      <c r="G597" s="506"/>
      <c r="H597" s="506"/>
      <c r="I597" s="506"/>
      <c r="J597" s="506"/>
    </row>
    <row r="598" spans="1:10" ht="15" customHeight="1">
      <c r="A598" s="166"/>
      <c r="B598" s="505" t="s">
        <v>779</v>
      </c>
      <c r="C598" s="506"/>
      <c r="D598" s="506"/>
      <c r="E598" s="473">
        <v>11796019</v>
      </c>
      <c r="F598" s="507">
        <v>15976</v>
      </c>
      <c r="G598" s="508"/>
      <c r="H598" s="508"/>
      <c r="I598" s="166"/>
      <c r="J598" s="473">
        <v>11811995</v>
      </c>
    </row>
    <row r="599" spans="1:10" ht="15" customHeight="1">
      <c r="A599" s="166"/>
      <c r="B599" s="505" t="s">
        <v>778</v>
      </c>
      <c r="C599" s="506"/>
      <c r="D599" s="506"/>
      <c r="E599" s="473">
        <v>5486990</v>
      </c>
      <c r="F599" s="507">
        <v>-1050</v>
      </c>
      <c r="G599" s="508"/>
      <c r="H599" s="508"/>
      <c r="I599" s="166"/>
      <c r="J599" s="473">
        <v>5485940</v>
      </c>
    </row>
    <row r="600" spans="1:10" ht="15" customHeight="1">
      <c r="A600" s="166"/>
      <c r="B600" s="505" t="s">
        <v>777</v>
      </c>
      <c r="C600" s="506"/>
      <c r="D600" s="506"/>
      <c r="E600" s="473">
        <v>1568871</v>
      </c>
      <c r="F600" s="507">
        <v>15976</v>
      </c>
      <c r="G600" s="508"/>
      <c r="H600" s="508"/>
      <c r="I600" s="166"/>
      <c r="J600" s="473">
        <v>1584847</v>
      </c>
    </row>
    <row r="601" spans="1:10" ht="15" customHeight="1">
      <c r="A601" s="166"/>
      <c r="B601" s="505" t="s">
        <v>774</v>
      </c>
      <c r="C601" s="506"/>
      <c r="D601" s="506"/>
      <c r="E601" s="473">
        <v>3441</v>
      </c>
      <c r="F601" s="507">
        <v>0</v>
      </c>
      <c r="G601" s="507"/>
      <c r="H601" s="507"/>
      <c r="I601" s="166"/>
      <c r="J601" s="473">
        <v>3441</v>
      </c>
    </row>
    <row r="602" spans="1:10" ht="15" customHeight="1">
      <c r="A602" s="166"/>
      <c r="B602" s="505" t="s">
        <v>773</v>
      </c>
      <c r="C602" s="506"/>
      <c r="D602" s="506"/>
      <c r="E602" s="473">
        <v>4736717</v>
      </c>
      <c r="F602" s="507">
        <v>1050</v>
      </c>
      <c r="G602" s="508"/>
      <c r="H602" s="508"/>
      <c r="I602" s="166"/>
      <c r="J602" s="473">
        <v>4737767</v>
      </c>
    </row>
    <row r="603" ht="9" customHeight="1"/>
    <row r="604" spans="1:10" ht="15">
      <c r="A604" s="504" t="s">
        <v>800</v>
      </c>
      <c r="B604" s="502"/>
      <c r="C604" s="502"/>
      <c r="D604" s="502"/>
      <c r="E604" s="502"/>
      <c r="F604" s="502"/>
      <c r="G604" s="502"/>
      <c r="H604" s="502"/>
      <c r="I604" s="502"/>
      <c r="J604" s="502"/>
    </row>
    <row r="605" spans="2:10" s="168" customFormat="1" ht="15" customHeight="1">
      <c r="B605" s="495" t="s">
        <v>779</v>
      </c>
      <c r="C605" s="496"/>
      <c r="D605" s="496"/>
      <c r="E605" s="169">
        <v>63330</v>
      </c>
      <c r="F605" s="497">
        <v>0</v>
      </c>
      <c r="G605" s="497"/>
      <c r="H605" s="497"/>
      <c r="J605" s="169">
        <v>63330</v>
      </c>
    </row>
    <row r="606" spans="2:10" ht="15" customHeight="1">
      <c r="B606" s="501" t="s">
        <v>773</v>
      </c>
      <c r="C606" s="502"/>
      <c r="D606" s="502"/>
      <c r="E606" s="164">
        <v>63330</v>
      </c>
      <c r="F606" s="503">
        <v>0</v>
      </c>
      <c r="G606" s="503"/>
      <c r="H606" s="503"/>
      <c r="J606" s="164">
        <v>63330</v>
      </c>
    </row>
    <row r="607" ht="9" customHeight="1"/>
    <row r="608" spans="1:10" ht="15">
      <c r="A608" s="504" t="s">
        <v>799</v>
      </c>
      <c r="B608" s="502"/>
      <c r="C608" s="502"/>
      <c r="D608" s="502"/>
      <c r="E608" s="502"/>
      <c r="F608" s="502"/>
      <c r="G608" s="502"/>
      <c r="H608" s="502"/>
      <c r="I608" s="502"/>
      <c r="J608" s="502"/>
    </row>
    <row r="609" spans="2:10" s="168" customFormat="1" ht="15" customHeight="1">
      <c r="B609" s="495" t="s">
        <v>779</v>
      </c>
      <c r="C609" s="496"/>
      <c r="D609" s="496"/>
      <c r="E609" s="169">
        <v>11585</v>
      </c>
      <c r="F609" s="497">
        <v>0</v>
      </c>
      <c r="G609" s="497"/>
      <c r="H609" s="497"/>
      <c r="J609" s="169">
        <v>11585</v>
      </c>
    </row>
    <row r="610" spans="2:10" ht="15" customHeight="1">
      <c r="B610" s="501" t="s">
        <v>773</v>
      </c>
      <c r="C610" s="502"/>
      <c r="D610" s="502"/>
      <c r="E610" s="164">
        <v>11585</v>
      </c>
      <c r="F610" s="503">
        <v>0</v>
      </c>
      <c r="G610" s="503"/>
      <c r="H610" s="503"/>
      <c r="J610" s="164">
        <v>11585</v>
      </c>
    </row>
    <row r="611" ht="9" customHeight="1"/>
    <row r="612" spans="1:10" ht="15">
      <c r="A612" s="504" t="s">
        <v>798</v>
      </c>
      <c r="B612" s="502"/>
      <c r="C612" s="502"/>
      <c r="D612" s="502"/>
      <c r="E612" s="502"/>
      <c r="F612" s="502"/>
      <c r="G612" s="502"/>
      <c r="H612" s="502"/>
      <c r="I612" s="502"/>
      <c r="J612" s="502"/>
    </row>
    <row r="613" spans="2:10" s="168" customFormat="1" ht="15" customHeight="1">
      <c r="B613" s="495" t="s">
        <v>779</v>
      </c>
      <c r="C613" s="496"/>
      <c r="D613" s="496"/>
      <c r="E613" s="169">
        <v>27125</v>
      </c>
      <c r="F613" s="497">
        <v>0</v>
      </c>
      <c r="G613" s="497"/>
      <c r="H613" s="497"/>
      <c r="J613" s="169">
        <v>27125</v>
      </c>
    </row>
    <row r="614" spans="2:10" ht="15" customHeight="1">
      <c r="B614" s="501" t="s">
        <v>773</v>
      </c>
      <c r="C614" s="502"/>
      <c r="D614" s="502"/>
      <c r="E614" s="164">
        <v>27125</v>
      </c>
      <c r="F614" s="503">
        <v>0</v>
      </c>
      <c r="G614" s="503"/>
      <c r="H614" s="503"/>
      <c r="J614" s="164">
        <v>27125</v>
      </c>
    </row>
    <row r="615" ht="9" customHeight="1"/>
    <row r="616" spans="1:10" ht="19.5" customHeight="1">
      <c r="A616" s="504" t="s">
        <v>797</v>
      </c>
      <c r="B616" s="502"/>
      <c r="C616" s="502"/>
      <c r="D616" s="502"/>
      <c r="E616" s="502"/>
      <c r="F616" s="502"/>
      <c r="G616" s="502"/>
      <c r="H616" s="502"/>
      <c r="I616" s="502"/>
      <c r="J616" s="502"/>
    </row>
    <row r="617" spans="2:10" s="168" customFormat="1" ht="15" customHeight="1">
      <c r="B617" s="495" t="s">
        <v>779</v>
      </c>
      <c r="C617" s="496"/>
      <c r="D617" s="496"/>
      <c r="E617" s="169">
        <v>3728</v>
      </c>
      <c r="F617" s="497">
        <v>0</v>
      </c>
      <c r="G617" s="497"/>
      <c r="H617" s="497"/>
      <c r="J617" s="169">
        <v>3728</v>
      </c>
    </row>
    <row r="618" spans="2:10" ht="15" customHeight="1">
      <c r="B618" s="501" t="s">
        <v>777</v>
      </c>
      <c r="C618" s="502"/>
      <c r="D618" s="502"/>
      <c r="E618" s="164">
        <v>3728</v>
      </c>
      <c r="F618" s="503">
        <v>0</v>
      </c>
      <c r="G618" s="503"/>
      <c r="H618" s="503"/>
      <c r="J618" s="164">
        <v>3728</v>
      </c>
    </row>
    <row r="619" ht="9" customHeight="1"/>
    <row r="620" spans="1:10" ht="15">
      <c r="A620" s="504" t="s">
        <v>796</v>
      </c>
      <c r="B620" s="502"/>
      <c r="C620" s="502"/>
      <c r="D620" s="502"/>
      <c r="E620" s="502"/>
      <c r="F620" s="502"/>
      <c r="G620" s="502"/>
      <c r="H620" s="502"/>
      <c r="I620" s="502"/>
      <c r="J620" s="502"/>
    </row>
    <row r="621" spans="2:10" s="168" customFormat="1" ht="15" customHeight="1">
      <c r="B621" s="495" t="s">
        <v>779</v>
      </c>
      <c r="C621" s="496"/>
      <c r="D621" s="496"/>
      <c r="E621" s="169">
        <v>2382983</v>
      </c>
      <c r="F621" s="497">
        <v>0</v>
      </c>
      <c r="G621" s="497"/>
      <c r="H621" s="497"/>
      <c r="J621" s="169">
        <v>2382983</v>
      </c>
    </row>
    <row r="622" spans="2:10" ht="15" customHeight="1">
      <c r="B622" s="501" t="s">
        <v>778</v>
      </c>
      <c r="C622" s="502"/>
      <c r="D622" s="502"/>
      <c r="E622" s="164">
        <v>2132267</v>
      </c>
      <c r="F622" s="503">
        <v>0</v>
      </c>
      <c r="G622" s="503"/>
      <c r="H622" s="503"/>
      <c r="J622" s="164">
        <v>2132267</v>
      </c>
    </row>
    <row r="623" spans="2:10" ht="15" customHeight="1">
      <c r="B623" s="501" t="s">
        <v>777</v>
      </c>
      <c r="C623" s="502"/>
      <c r="D623" s="502"/>
      <c r="E623" s="164">
        <v>56633</v>
      </c>
      <c r="F623" s="503">
        <v>0</v>
      </c>
      <c r="G623" s="503"/>
      <c r="H623" s="503"/>
      <c r="J623" s="164">
        <v>56633</v>
      </c>
    </row>
    <row r="624" spans="2:10" ht="15" customHeight="1">
      <c r="B624" s="501" t="s">
        <v>774</v>
      </c>
      <c r="C624" s="502"/>
      <c r="D624" s="502"/>
      <c r="E624" s="164">
        <v>1300</v>
      </c>
      <c r="F624" s="503">
        <v>0</v>
      </c>
      <c r="G624" s="503"/>
      <c r="H624" s="503"/>
      <c r="J624" s="164">
        <v>1300</v>
      </c>
    </row>
    <row r="625" spans="2:10" ht="15" customHeight="1">
      <c r="B625" s="501" t="s">
        <v>773</v>
      </c>
      <c r="C625" s="502"/>
      <c r="D625" s="502"/>
      <c r="E625" s="164">
        <v>192783</v>
      </c>
      <c r="F625" s="503">
        <v>0</v>
      </c>
      <c r="G625" s="503"/>
      <c r="H625" s="503"/>
      <c r="J625" s="164">
        <v>192783</v>
      </c>
    </row>
    <row r="626" ht="9" customHeight="1"/>
    <row r="627" spans="1:10" ht="15">
      <c r="A627" s="504" t="s">
        <v>1017</v>
      </c>
      <c r="B627" s="502"/>
      <c r="C627" s="502"/>
      <c r="D627" s="502"/>
      <c r="E627" s="502"/>
      <c r="F627" s="502"/>
      <c r="G627" s="502"/>
      <c r="H627" s="502"/>
      <c r="I627" s="502"/>
      <c r="J627" s="502"/>
    </row>
    <row r="628" spans="2:10" s="168" customFormat="1" ht="15" customHeight="1">
      <c r="B628" s="495" t="s">
        <v>779</v>
      </c>
      <c r="C628" s="496"/>
      <c r="D628" s="496"/>
      <c r="E628" s="169">
        <v>151249</v>
      </c>
      <c r="F628" s="497">
        <v>0</v>
      </c>
      <c r="G628" s="497"/>
      <c r="H628" s="497"/>
      <c r="J628" s="169">
        <v>151249</v>
      </c>
    </row>
    <row r="629" spans="2:10" ht="15" customHeight="1">
      <c r="B629" s="501" t="s">
        <v>778</v>
      </c>
      <c r="C629" s="502"/>
      <c r="D629" s="502"/>
      <c r="E629" s="164">
        <v>117906</v>
      </c>
      <c r="F629" s="503">
        <v>0</v>
      </c>
      <c r="G629" s="503"/>
      <c r="H629" s="503"/>
      <c r="J629" s="164">
        <v>117906</v>
      </c>
    </row>
    <row r="630" spans="2:10" ht="15" customHeight="1">
      <c r="B630" s="501" t="s">
        <v>777</v>
      </c>
      <c r="C630" s="502"/>
      <c r="D630" s="502"/>
      <c r="E630" s="164">
        <v>33343</v>
      </c>
      <c r="F630" s="503">
        <v>0</v>
      </c>
      <c r="G630" s="503"/>
      <c r="H630" s="503"/>
      <c r="J630" s="164">
        <v>33343</v>
      </c>
    </row>
    <row r="631" ht="9" customHeight="1"/>
    <row r="632" spans="1:10" ht="15">
      <c r="A632" s="504" t="s">
        <v>1016</v>
      </c>
      <c r="B632" s="502"/>
      <c r="C632" s="502"/>
      <c r="D632" s="502"/>
      <c r="E632" s="502"/>
      <c r="F632" s="502"/>
      <c r="G632" s="502"/>
      <c r="H632" s="502"/>
      <c r="I632" s="502"/>
      <c r="J632" s="502"/>
    </row>
    <row r="633" spans="2:10" s="168" customFormat="1" ht="15" customHeight="1">
      <c r="B633" s="495" t="s">
        <v>779</v>
      </c>
      <c r="C633" s="496"/>
      <c r="D633" s="496"/>
      <c r="E633" s="169">
        <v>132839</v>
      </c>
      <c r="F633" s="497">
        <v>0</v>
      </c>
      <c r="G633" s="497"/>
      <c r="H633" s="497"/>
      <c r="J633" s="169">
        <v>132839</v>
      </c>
    </row>
    <row r="634" spans="2:10" ht="15" customHeight="1">
      <c r="B634" s="501" t="s">
        <v>778</v>
      </c>
      <c r="C634" s="502"/>
      <c r="D634" s="502"/>
      <c r="E634" s="164">
        <v>100703</v>
      </c>
      <c r="F634" s="503">
        <v>0</v>
      </c>
      <c r="G634" s="503"/>
      <c r="H634" s="503"/>
      <c r="J634" s="164">
        <v>100703</v>
      </c>
    </row>
    <row r="635" spans="2:10" ht="15" customHeight="1">
      <c r="B635" s="501" t="s">
        <v>777</v>
      </c>
      <c r="C635" s="502"/>
      <c r="D635" s="502"/>
      <c r="E635" s="164">
        <v>32136</v>
      </c>
      <c r="F635" s="503">
        <v>0</v>
      </c>
      <c r="G635" s="503"/>
      <c r="H635" s="503"/>
      <c r="J635" s="164">
        <v>32136</v>
      </c>
    </row>
    <row r="636" ht="9" customHeight="1"/>
    <row r="637" spans="1:10" ht="15">
      <c r="A637" s="504" t="s">
        <v>1015</v>
      </c>
      <c r="B637" s="502"/>
      <c r="C637" s="502"/>
      <c r="D637" s="502"/>
      <c r="E637" s="502"/>
      <c r="F637" s="502"/>
      <c r="G637" s="502"/>
      <c r="H637" s="502"/>
      <c r="I637" s="502"/>
      <c r="J637" s="502"/>
    </row>
    <row r="638" spans="2:10" s="168" customFormat="1" ht="15" customHeight="1">
      <c r="B638" s="495" t="s">
        <v>779</v>
      </c>
      <c r="C638" s="496"/>
      <c r="D638" s="496"/>
      <c r="E638" s="169">
        <v>146982</v>
      </c>
      <c r="F638" s="497">
        <v>0</v>
      </c>
      <c r="G638" s="497"/>
      <c r="H638" s="497"/>
      <c r="J638" s="169">
        <v>146982</v>
      </c>
    </row>
    <row r="639" spans="2:10" ht="15" customHeight="1">
      <c r="B639" s="501" t="s">
        <v>778</v>
      </c>
      <c r="C639" s="502"/>
      <c r="D639" s="502"/>
      <c r="E639" s="164">
        <v>103899</v>
      </c>
      <c r="F639" s="503">
        <v>0</v>
      </c>
      <c r="G639" s="503"/>
      <c r="H639" s="503"/>
      <c r="J639" s="164">
        <v>103899</v>
      </c>
    </row>
    <row r="640" spans="2:10" ht="15" customHeight="1">
      <c r="B640" s="501" t="s">
        <v>777</v>
      </c>
      <c r="C640" s="502"/>
      <c r="D640" s="502"/>
      <c r="E640" s="164">
        <v>43083</v>
      </c>
      <c r="F640" s="503">
        <v>0</v>
      </c>
      <c r="G640" s="503"/>
      <c r="H640" s="503"/>
      <c r="J640" s="164">
        <v>43083</v>
      </c>
    </row>
    <row r="641" ht="9" customHeight="1"/>
    <row r="642" spans="1:10" ht="15">
      <c r="A642" s="504" t="s">
        <v>795</v>
      </c>
      <c r="B642" s="502"/>
      <c r="C642" s="502"/>
      <c r="D642" s="502"/>
      <c r="E642" s="502"/>
      <c r="F642" s="502"/>
      <c r="G642" s="502"/>
      <c r="H642" s="502"/>
      <c r="I642" s="502"/>
      <c r="J642" s="502"/>
    </row>
    <row r="643" spans="2:10" s="168" customFormat="1" ht="15" customHeight="1">
      <c r="B643" s="495" t="s">
        <v>779</v>
      </c>
      <c r="C643" s="496"/>
      <c r="D643" s="496"/>
      <c r="E643" s="169">
        <v>166704</v>
      </c>
      <c r="F643" s="497">
        <v>15976</v>
      </c>
      <c r="G643" s="500"/>
      <c r="H643" s="500"/>
      <c r="J643" s="169">
        <v>182680</v>
      </c>
    </row>
    <row r="644" spans="2:10" ht="15" customHeight="1">
      <c r="B644" s="501" t="s">
        <v>778</v>
      </c>
      <c r="C644" s="502"/>
      <c r="D644" s="502"/>
      <c r="E644" s="164">
        <v>134564</v>
      </c>
      <c r="F644" s="503">
        <v>0</v>
      </c>
      <c r="G644" s="503"/>
      <c r="H644" s="503"/>
      <c r="J644" s="164">
        <v>134564</v>
      </c>
    </row>
    <row r="645" spans="2:10" ht="15" customHeight="1">
      <c r="B645" s="501" t="s">
        <v>777</v>
      </c>
      <c r="C645" s="502"/>
      <c r="D645" s="502"/>
      <c r="E645" s="164">
        <v>32140</v>
      </c>
      <c r="F645" s="503">
        <v>15976</v>
      </c>
      <c r="G645" s="499"/>
      <c r="H645" s="499"/>
      <c r="J645" s="164">
        <v>48116</v>
      </c>
    </row>
    <row r="646" ht="9" customHeight="1"/>
    <row r="647" spans="1:10" ht="15">
      <c r="A647" s="504" t="s">
        <v>794</v>
      </c>
      <c r="B647" s="502"/>
      <c r="C647" s="502"/>
      <c r="D647" s="502"/>
      <c r="E647" s="502"/>
      <c r="F647" s="502"/>
      <c r="G647" s="502"/>
      <c r="H647" s="502"/>
      <c r="I647" s="502"/>
      <c r="J647" s="502"/>
    </row>
    <row r="648" spans="2:10" s="168" customFormat="1" ht="15" customHeight="1">
      <c r="B648" s="495" t="s">
        <v>779</v>
      </c>
      <c r="C648" s="496"/>
      <c r="D648" s="496"/>
      <c r="E648" s="169">
        <v>181354</v>
      </c>
      <c r="F648" s="497">
        <v>0</v>
      </c>
      <c r="G648" s="497"/>
      <c r="H648" s="497"/>
      <c r="J648" s="169">
        <v>181354</v>
      </c>
    </row>
    <row r="649" spans="2:10" ht="15" customHeight="1">
      <c r="B649" s="501" t="s">
        <v>778</v>
      </c>
      <c r="C649" s="502"/>
      <c r="D649" s="502"/>
      <c r="E649" s="164">
        <v>154698</v>
      </c>
      <c r="F649" s="503">
        <v>0</v>
      </c>
      <c r="G649" s="503"/>
      <c r="H649" s="503"/>
      <c r="J649" s="164">
        <v>154698</v>
      </c>
    </row>
    <row r="650" spans="2:10" ht="15" customHeight="1">
      <c r="B650" s="501" t="s">
        <v>777</v>
      </c>
      <c r="C650" s="502"/>
      <c r="D650" s="502"/>
      <c r="E650" s="164">
        <v>26656</v>
      </c>
      <c r="F650" s="503">
        <v>0</v>
      </c>
      <c r="G650" s="503"/>
      <c r="H650" s="503"/>
      <c r="J650" s="164">
        <v>26656</v>
      </c>
    </row>
    <row r="651" ht="9" customHeight="1"/>
    <row r="652" spans="1:10" ht="19.5" customHeight="1">
      <c r="A652" s="504" t="s">
        <v>793</v>
      </c>
      <c r="B652" s="502"/>
      <c r="C652" s="502"/>
      <c r="D652" s="502"/>
      <c r="E652" s="502"/>
      <c r="F652" s="502"/>
      <c r="G652" s="502"/>
      <c r="H652" s="502"/>
      <c r="I652" s="502"/>
      <c r="J652" s="502"/>
    </row>
    <row r="653" spans="2:10" s="168" customFormat="1" ht="15" customHeight="1">
      <c r="B653" s="495" t="s">
        <v>779</v>
      </c>
      <c r="C653" s="496"/>
      <c r="D653" s="496"/>
      <c r="E653" s="169">
        <v>145754</v>
      </c>
      <c r="F653" s="497">
        <v>0</v>
      </c>
      <c r="G653" s="497"/>
      <c r="H653" s="497"/>
      <c r="J653" s="169">
        <v>145754</v>
      </c>
    </row>
    <row r="654" spans="2:10" ht="15" customHeight="1">
      <c r="B654" s="501" t="s">
        <v>778</v>
      </c>
      <c r="C654" s="502"/>
      <c r="D654" s="502"/>
      <c r="E654" s="164">
        <v>99630</v>
      </c>
      <c r="F654" s="503">
        <v>0</v>
      </c>
      <c r="G654" s="503"/>
      <c r="H654" s="503"/>
      <c r="J654" s="164">
        <v>99630</v>
      </c>
    </row>
    <row r="655" spans="2:10" ht="15" customHeight="1">
      <c r="B655" s="501" t="s">
        <v>777</v>
      </c>
      <c r="C655" s="502"/>
      <c r="D655" s="502"/>
      <c r="E655" s="164">
        <v>46124</v>
      </c>
      <c r="F655" s="503">
        <v>0</v>
      </c>
      <c r="G655" s="503"/>
      <c r="H655" s="503"/>
      <c r="J655" s="164">
        <v>46124</v>
      </c>
    </row>
    <row r="656" ht="9" customHeight="1"/>
    <row r="657" spans="1:10" ht="19.5" customHeight="1">
      <c r="A657" s="504" t="s">
        <v>792</v>
      </c>
      <c r="B657" s="502"/>
      <c r="C657" s="502"/>
      <c r="D657" s="502"/>
      <c r="E657" s="502"/>
      <c r="F657" s="502"/>
      <c r="G657" s="502"/>
      <c r="H657" s="502"/>
      <c r="I657" s="502"/>
      <c r="J657" s="502"/>
    </row>
    <row r="658" spans="2:10" s="168" customFormat="1" ht="15" customHeight="1">
      <c r="B658" s="495" t="s">
        <v>779</v>
      </c>
      <c r="C658" s="496"/>
      <c r="D658" s="496"/>
      <c r="E658" s="169">
        <v>406660</v>
      </c>
      <c r="F658" s="497">
        <v>0</v>
      </c>
      <c r="G658" s="497"/>
      <c r="H658" s="497"/>
      <c r="J658" s="169">
        <v>406660</v>
      </c>
    </row>
    <row r="659" spans="2:10" ht="15" customHeight="1">
      <c r="B659" s="501" t="s">
        <v>778</v>
      </c>
      <c r="C659" s="502"/>
      <c r="D659" s="502"/>
      <c r="E659" s="164">
        <v>172020</v>
      </c>
      <c r="F659" s="503">
        <v>0</v>
      </c>
      <c r="G659" s="503"/>
      <c r="H659" s="503"/>
      <c r="J659" s="164">
        <v>172020</v>
      </c>
    </row>
    <row r="660" spans="2:10" ht="15" customHeight="1">
      <c r="B660" s="501" t="s">
        <v>777</v>
      </c>
      <c r="C660" s="502"/>
      <c r="D660" s="502"/>
      <c r="E660" s="164">
        <v>11398</v>
      </c>
      <c r="F660" s="503">
        <v>0</v>
      </c>
      <c r="G660" s="503"/>
      <c r="H660" s="503"/>
      <c r="J660" s="164">
        <v>11398</v>
      </c>
    </row>
    <row r="661" spans="2:10" ht="15" customHeight="1">
      <c r="B661" s="501" t="s">
        <v>774</v>
      </c>
      <c r="C661" s="502"/>
      <c r="D661" s="502"/>
      <c r="E661" s="164">
        <v>1300</v>
      </c>
      <c r="F661" s="503">
        <v>0</v>
      </c>
      <c r="G661" s="503"/>
      <c r="H661" s="503"/>
      <c r="J661" s="164">
        <v>1300</v>
      </c>
    </row>
    <row r="662" spans="2:10" ht="15" customHeight="1">
      <c r="B662" s="501" t="s">
        <v>773</v>
      </c>
      <c r="C662" s="502"/>
      <c r="D662" s="502"/>
      <c r="E662" s="164">
        <v>221942</v>
      </c>
      <c r="F662" s="503">
        <v>0</v>
      </c>
      <c r="G662" s="503"/>
      <c r="H662" s="503"/>
      <c r="J662" s="164">
        <v>221942</v>
      </c>
    </row>
    <row r="663" ht="9" customHeight="1"/>
    <row r="664" spans="1:10" ht="19.5" customHeight="1">
      <c r="A664" s="504" t="s">
        <v>791</v>
      </c>
      <c r="B664" s="502"/>
      <c r="C664" s="502"/>
      <c r="D664" s="502"/>
      <c r="E664" s="502"/>
      <c r="F664" s="502"/>
      <c r="G664" s="502"/>
      <c r="H664" s="502"/>
      <c r="I664" s="502"/>
      <c r="J664" s="502"/>
    </row>
    <row r="665" spans="2:10" s="168" customFormat="1" ht="15" customHeight="1">
      <c r="B665" s="495" t="s">
        <v>779</v>
      </c>
      <c r="C665" s="496"/>
      <c r="D665" s="496"/>
      <c r="E665" s="169">
        <v>1601690</v>
      </c>
      <c r="F665" s="497">
        <v>0</v>
      </c>
      <c r="G665" s="497"/>
      <c r="H665" s="497"/>
      <c r="J665" s="169">
        <v>1601690</v>
      </c>
    </row>
    <row r="666" spans="2:10" ht="15" customHeight="1">
      <c r="B666" s="501" t="s">
        <v>773</v>
      </c>
      <c r="C666" s="502"/>
      <c r="D666" s="502"/>
      <c r="E666" s="164">
        <v>1601690</v>
      </c>
      <c r="F666" s="503">
        <v>0</v>
      </c>
      <c r="G666" s="503"/>
      <c r="H666" s="503"/>
      <c r="J666" s="164">
        <v>1601690</v>
      </c>
    </row>
    <row r="667" ht="9" customHeight="1"/>
    <row r="668" spans="1:10" ht="19.5" customHeight="1">
      <c r="A668" s="504" t="s">
        <v>790</v>
      </c>
      <c r="B668" s="502"/>
      <c r="C668" s="502"/>
      <c r="D668" s="502"/>
      <c r="E668" s="502"/>
      <c r="F668" s="502"/>
      <c r="G668" s="502"/>
      <c r="H668" s="502"/>
      <c r="I668" s="502"/>
      <c r="J668" s="502"/>
    </row>
    <row r="669" spans="2:10" s="168" customFormat="1" ht="15" customHeight="1">
      <c r="B669" s="495" t="s">
        <v>779</v>
      </c>
      <c r="C669" s="496"/>
      <c r="D669" s="496"/>
      <c r="E669" s="169">
        <v>1958931</v>
      </c>
      <c r="F669" s="497">
        <v>0</v>
      </c>
      <c r="G669" s="497"/>
      <c r="H669" s="497"/>
      <c r="J669" s="169">
        <v>1958931</v>
      </c>
    </row>
    <row r="670" spans="2:10" ht="15" customHeight="1">
      <c r="B670" s="501" t="s">
        <v>778</v>
      </c>
      <c r="C670" s="502"/>
      <c r="D670" s="502"/>
      <c r="E670" s="164">
        <v>13950</v>
      </c>
      <c r="F670" s="503">
        <v>-1050</v>
      </c>
      <c r="G670" s="499"/>
      <c r="H670" s="499"/>
      <c r="J670" s="164">
        <v>12900</v>
      </c>
    </row>
    <row r="671" spans="2:10" ht="15" customHeight="1">
      <c r="B671" s="501" t="s">
        <v>777</v>
      </c>
      <c r="C671" s="502"/>
      <c r="D671" s="502"/>
      <c r="E671" s="164">
        <v>914237</v>
      </c>
      <c r="F671" s="503">
        <v>0</v>
      </c>
      <c r="G671" s="503"/>
      <c r="H671" s="503"/>
      <c r="J671" s="164">
        <v>914237</v>
      </c>
    </row>
    <row r="672" spans="2:10" ht="15" customHeight="1">
      <c r="B672" s="501" t="s">
        <v>773</v>
      </c>
      <c r="C672" s="502"/>
      <c r="D672" s="502"/>
      <c r="E672" s="164">
        <v>1030744</v>
      </c>
      <c r="F672" s="503">
        <v>1050</v>
      </c>
      <c r="G672" s="499"/>
      <c r="H672" s="499"/>
      <c r="J672" s="164">
        <v>1031794</v>
      </c>
    </row>
    <row r="673" ht="9" customHeight="1"/>
    <row r="674" spans="1:10" ht="19.5" customHeight="1">
      <c r="A674" s="504" t="s">
        <v>789</v>
      </c>
      <c r="B674" s="502"/>
      <c r="C674" s="502"/>
      <c r="D674" s="502"/>
      <c r="E674" s="502"/>
      <c r="F674" s="502"/>
      <c r="G674" s="502"/>
      <c r="H674" s="502"/>
      <c r="I674" s="502"/>
      <c r="J674" s="502"/>
    </row>
    <row r="675" spans="2:10" s="168" customFormat="1" ht="15" customHeight="1">
      <c r="B675" s="495" t="s">
        <v>779</v>
      </c>
      <c r="C675" s="496"/>
      <c r="D675" s="496"/>
      <c r="E675" s="169">
        <v>1092398</v>
      </c>
      <c r="F675" s="497">
        <v>0</v>
      </c>
      <c r="G675" s="497"/>
      <c r="H675" s="497"/>
      <c r="J675" s="169">
        <v>1092398</v>
      </c>
    </row>
    <row r="676" spans="2:10" ht="15" customHeight="1">
      <c r="B676" s="501" t="s">
        <v>773</v>
      </c>
      <c r="C676" s="502"/>
      <c r="D676" s="502"/>
      <c r="E676" s="164">
        <v>1092398</v>
      </c>
      <c r="F676" s="503">
        <v>0</v>
      </c>
      <c r="G676" s="503"/>
      <c r="H676" s="503"/>
      <c r="J676" s="164">
        <v>1092398</v>
      </c>
    </row>
    <row r="677" ht="9" customHeight="1"/>
    <row r="678" spans="1:10" ht="19.5" customHeight="1">
      <c r="A678" s="504" t="s">
        <v>788</v>
      </c>
      <c r="B678" s="502"/>
      <c r="C678" s="502"/>
      <c r="D678" s="502"/>
      <c r="E678" s="502"/>
      <c r="F678" s="502"/>
      <c r="G678" s="502"/>
      <c r="H678" s="502"/>
      <c r="I678" s="502"/>
      <c r="J678" s="502"/>
    </row>
    <row r="679" spans="2:10" s="168" customFormat="1" ht="15" customHeight="1">
      <c r="B679" s="495" t="s">
        <v>779</v>
      </c>
      <c r="C679" s="496"/>
      <c r="D679" s="496"/>
      <c r="E679" s="169">
        <v>18831</v>
      </c>
      <c r="F679" s="497">
        <v>0</v>
      </c>
      <c r="G679" s="497"/>
      <c r="H679" s="497"/>
      <c r="J679" s="169">
        <v>18831</v>
      </c>
    </row>
    <row r="680" spans="2:10" ht="15" customHeight="1">
      <c r="B680" s="501" t="s">
        <v>777</v>
      </c>
      <c r="C680" s="502"/>
      <c r="D680" s="502"/>
      <c r="E680" s="164">
        <v>1745</v>
      </c>
      <c r="F680" s="503">
        <v>0</v>
      </c>
      <c r="G680" s="503"/>
      <c r="H680" s="503"/>
      <c r="J680" s="164">
        <v>1745</v>
      </c>
    </row>
    <row r="681" spans="2:10" ht="15" customHeight="1">
      <c r="B681" s="501" t="s">
        <v>773</v>
      </c>
      <c r="C681" s="502"/>
      <c r="D681" s="502"/>
      <c r="E681" s="164">
        <v>17086</v>
      </c>
      <c r="F681" s="503">
        <v>0</v>
      </c>
      <c r="G681" s="503"/>
      <c r="H681" s="503"/>
      <c r="J681" s="164">
        <v>17086</v>
      </c>
    </row>
    <row r="682" ht="9" customHeight="1"/>
    <row r="683" spans="1:10" ht="31.5" customHeight="1">
      <c r="A683" s="504" t="s">
        <v>787</v>
      </c>
      <c r="B683" s="502"/>
      <c r="C683" s="502"/>
      <c r="D683" s="502"/>
      <c r="E683" s="502"/>
      <c r="F683" s="502"/>
      <c r="G683" s="502"/>
      <c r="H683" s="502"/>
      <c r="I683" s="502"/>
      <c r="J683" s="502"/>
    </row>
    <row r="684" spans="2:10" s="168" customFormat="1" ht="15" customHeight="1">
      <c r="B684" s="495" t="s">
        <v>779</v>
      </c>
      <c r="C684" s="496"/>
      <c r="D684" s="496"/>
      <c r="E684" s="169">
        <v>415754</v>
      </c>
      <c r="F684" s="497">
        <v>0</v>
      </c>
      <c r="G684" s="497"/>
      <c r="H684" s="497"/>
      <c r="J684" s="169">
        <v>415754</v>
      </c>
    </row>
    <row r="685" spans="2:10" ht="15" customHeight="1">
      <c r="B685" s="501" t="s">
        <v>773</v>
      </c>
      <c r="C685" s="502"/>
      <c r="D685" s="502"/>
      <c r="E685" s="164">
        <v>415754</v>
      </c>
      <c r="F685" s="503">
        <v>0</v>
      </c>
      <c r="G685" s="503"/>
      <c r="H685" s="503"/>
      <c r="J685" s="164">
        <v>415754</v>
      </c>
    </row>
    <row r="686" ht="9" customHeight="1"/>
    <row r="687" spans="1:10" ht="19.5" customHeight="1">
      <c r="A687" s="504" t="s">
        <v>786</v>
      </c>
      <c r="B687" s="502"/>
      <c r="C687" s="502"/>
      <c r="D687" s="502"/>
      <c r="E687" s="502"/>
      <c r="F687" s="502"/>
      <c r="G687" s="502"/>
      <c r="H687" s="502"/>
      <c r="I687" s="502"/>
      <c r="J687" s="502"/>
    </row>
    <row r="688" spans="2:10" s="168" customFormat="1" ht="15" customHeight="1">
      <c r="B688" s="495" t="s">
        <v>779</v>
      </c>
      <c r="C688" s="496"/>
      <c r="D688" s="496"/>
      <c r="E688" s="169">
        <v>113482</v>
      </c>
      <c r="F688" s="497">
        <v>0</v>
      </c>
      <c r="G688" s="497"/>
      <c r="H688" s="497"/>
      <c r="J688" s="169">
        <v>113482</v>
      </c>
    </row>
    <row r="689" spans="2:10" ht="15" customHeight="1">
      <c r="B689" s="501" t="s">
        <v>778</v>
      </c>
      <c r="C689" s="502"/>
      <c r="D689" s="502"/>
      <c r="E689" s="164">
        <v>66193</v>
      </c>
      <c r="F689" s="503">
        <v>0</v>
      </c>
      <c r="G689" s="503"/>
      <c r="H689" s="503"/>
      <c r="J689" s="164">
        <v>66193</v>
      </c>
    </row>
    <row r="690" spans="2:10" ht="15" customHeight="1">
      <c r="B690" s="501" t="s">
        <v>777</v>
      </c>
      <c r="C690" s="502"/>
      <c r="D690" s="502"/>
      <c r="E690" s="164">
        <v>47289</v>
      </c>
      <c r="F690" s="503">
        <v>0</v>
      </c>
      <c r="G690" s="503"/>
      <c r="H690" s="503"/>
      <c r="J690" s="164">
        <v>47289</v>
      </c>
    </row>
    <row r="691" ht="9" customHeight="1"/>
    <row r="692" spans="1:10" ht="19.5" customHeight="1">
      <c r="A692" s="504" t="s">
        <v>785</v>
      </c>
      <c r="B692" s="502"/>
      <c r="C692" s="502"/>
      <c r="D692" s="502"/>
      <c r="E692" s="502"/>
      <c r="F692" s="502"/>
      <c r="G692" s="502"/>
      <c r="H692" s="502"/>
      <c r="I692" s="502"/>
      <c r="J692" s="502"/>
    </row>
    <row r="693" spans="2:10" s="168" customFormat="1" ht="15" customHeight="1">
      <c r="B693" s="495" t="s">
        <v>779</v>
      </c>
      <c r="C693" s="496"/>
      <c r="D693" s="496"/>
      <c r="E693" s="169">
        <v>19479</v>
      </c>
      <c r="F693" s="497">
        <v>0</v>
      </c>
      <c r="G693" s="497"/>
      <c r="H693" s="497"/>
      <c r="J693" s="169">
        <v>19479</v>
      </c>
    </row>
    <row r="694" spans="2:10" ht="15" customHeight="1">
      <c r="B694" s="501" t="s">
        <v>778</v>
      </c>
      <c r="C694" s="502"/>
      <c r="D694" s="502"/>
      <c r="E694" s="164">
        <v>12403</v>
      </c>
      <c r="F694" s="503">
        <v>0</v>
      </c>
      <c r="G694" s="503"/>
      <c r="H694" s="503"/>
      <c r="J694" s="164">
        <v>12403</v>
      </c>
    </row>
    <row r="695" spans="2:10" ht="15" customHeight="1">
      <c r="B695" s="501" t="s">
        <v>777</v>
      </c>
      <c r="C695" s="502"/>
      <c r="D695" s="502"/>
      <c r="E695" s="164">
        <v>7076</v>
      </c>
      <c r="F695" s="503">
        <v>0</v>
      </c>
      <c r="G695" s="503"/>
      <c r="H695" s="503"/>
      <c r="J695" s="164">
        <v>7076</v>
      </c>
    </row>
    <row r="696" ht="9" customHeight="1"/>
    <row r="697" spans="1:10" ht="19.5" customHeight="1">
      <c r="A697" s="504" t="s">
        <v>784</v>
      </c>
      <c r="B697" s="502"/>
      <c r="C697" s="502"/>
      <c r="D697" s="502"/>
      <c r="E697" s="502"/>
      <c r="F697" s="502"/>
      <c r="G697" s="502"/>
      <c r="H697" s="502"/>
      <c r="I697" s="502"/>
      <c r="J697" s="502"/>
    </row>
    <row r="698" spans="2:10" s="168" customFormat="1" ht="15" customHeight="1">
      <c r="B698" s="495" t="s">
        <v>779</v>
      </c>
      <c r="C698" s="496"/>
      <c r="D698" s="496"/>
      <c r="E698" s="169">
        <v>287804</v>
      </c>
      <c r="F698" s="497">
        <v>0</v>
      </c>
      <c r="G698" s="497"/>
      <c r="H698" s="497"/>
      <c r="J698" s="169">
        <v>287804</v>
      </c>
    </row>
    <row r="699" spans="2:10" ht="15" customHeight="1">
      <c r="B699" s="501" t="s">
        <v>778</v>
      </c>
      <c r="C699" s="502"/>
      <c r="D699" s="502"/>
      <c r="E699" s="164">
        <v>245170</v>
      </c>
      <c r="F699" s="503">
        <v>0</v>
      </c>
      <c r="G699" s="503"/>
      <c r="H699" s="503"/>
      <c r="J699" s="164">
        <v>245170</v>
      </c>
    </row>
    <row r="700" spans="2:10" ht="15" customHeight="1">
      <c r="B700" s="501" t="s">
        <v>777</v>
      </c>
      <c r="C700" s="502"/>
      <c r="D700" s="502"/>
      <c r="E700" s="164">
        <v>41284</v>
      </c>
      <c r="F700" s="503">
        <v>0</v>
      </c>
      <c r="G700" s="503"/>
      <c r="H700" s="503"/>
      <c r="J700" s="164">
        <v>41284</v>
      </c>
    </row>
    <row r="701" spans="2:10" ht="15" customHeight="1">
      <c r="B701" s="501" t="s">
        <v>773</v>
      </c>
      <c r="C701" s="502"/>
      <c r="D701" s="502"/>
      <c r="E701" s="164">
        <v>1350</v>
      </c>
      <c r="F701" s="503">
        <v>0</v>
      </c>
      <c r="G701" s="503"/>
      <c r="H701" s="503"/>
      <c r="J701" s="164">
        <v>1350</v>
      </c>
    </row>
    <row r="702" ht="9" customHeight="1"/>
    <row r="703" spans="1:10" ht="19.5" customHeight="1">
      <c r="A703" s="504" t="s">
        <v>783</v>
      </c>
      <c r="B703" s="502"/>
      <c r="C703" s="502"/>
      <c r="D703" s="502"/>
      <c r="E703" s="502"/>
      <c r="F703" s="502"/>
      <c r="G703" s="502"/>
      <c r="H703" s="502"/>
      <c r="I703" s="502"/>
      <c r="J703" s="502"/>
    </row>
    <row r="704" spans="2:10" s="168" customFormat="1" ht="15" customHeight="1">
      <c r="B704" s="495" t="s">
        <v>779</v>
      </c>
      <c r="C704" s="496"/>
      <c r="D704" s="496"/>
      <c r="E704" s="169">
        <v>128614</v>
      </c>
      <c r="F704" s="497">
        <v>0</v>
      </c>
      <c r="G704" s="497"/>
      <c r="H704" s="497"/>
      <c r="J704" s="169">
        <v>128614</v>
      </c>
    </row>
    <row r="705" spans="2:10" ht="15" customHeight="1">
      <c r="B705" s="501" t="s">
        <v>778</v>
      </c>
      <c r="C705" s="502"/>
      <c r="D705" s="502"/>
      <c r="E705" s="164">
        <v>107723</v>
      </c>
      <c r="F705" s="503">
        <v>0</v>
      </c>
      <c r="G705" s="503"/>
      <c r="H705" s="503"/>
      <c r="J705" s="164">
        <v>107723</v>
      </c>
    </row>
    <row r="706" spans="2:10" ht="15" customHeight="1">
      <c r="B706" s="501" t="s">
        <v>777</v>
      </c>
      <c r="C706" s="502"/>
      <c r="D706" s="502"/>
      <c r="E706" s="164">
        <v>20891</v>
      </c>
      <c r="F706" s="503">
        <v>0</v>
      </c>
      <c r="G706" s="503"/>
      <c r="H706" s="503"/>
      <c r="J706" s="164">
        <v>20891</v>
      </c>
    </row>
    <row r="707" ht="9" customHeight="1"/>
    <row r="708" spans="1:10" ht="19.5" customHeight="1">
      <c r="A708" s="504" t="s">
        <v>1014</v>
      </c>
      <c r="B708" s="502"/>
      <c r="C708" s="502"/>
      <c r="D708" s="502"/>
      <c r="E708" s="502"/>
      <c r="F708" s="502"/>
      <c r="G708" s="502"/>
      <c r="H708" s="502"/>
      <c r="I708" s="502"/>
      <c r="J708" s="502"/>
    </row>
    <row r="709" spans="2:10" s="168" customFormat="1" ht="15" customHeight="1">
      <c r="B709" s="495" t="s">
        <v>779</v>
      </c>
      <c r="C709" s="496"/>
      <c r="D709" s="496"/>
      <c r="E709" s="169">
        <v>211825</v>
      </c>
      <c r="F709" s="497">
        <v>0</v>
      </c>
      <c r="G709" s="497"/>
      <c r="H709" s="497"/>
      <c r="J709" s="169">
        <v>211825</v>
      </c>
    </row>
    <row r="710" spans="2:10" ht="15" customHeight="1">
      <c r="B710" s="501" t="s">
        <v>778</v>
      </c>
      <c r="C710" s="502"/>
      <c r="D710" s="502"/>
      <c r="E710" s="164">
        <v>166005</v>
      </c>
      <c r="F710" s="503">
        <v>0</v>
      </c>
      <c r="G710" s="503"/>
      <c r="H710" s="503"/>
      <c r="J710" s="164">
        <v>166005</v>
      </c>
    </row>
    <row r="711" spans="2:10" ht="15" customHeight="1">
      <c r="B711" s="501" t="s">
        <v>777</v>
      </c>
      <c r="C711" s="502"/>
      <c r="D711" s="502"/>
      <c r="E711" s="164">
        <v>45820</v>
      </c>
      <c r="F711" s="503">
        <v>0</v>
      </c>
      <c r="G711" s="503"/>
      <c r="H711" s="503"/>
      <c r="J711" s="164">
        <v>45820</v>
      </c>
    </row>
    <row r="712" ht="9" customHeight="1"/>
    <row r="713" spans="1:10" ht="17.25" customHeight="1">
      <c r="A713" s="504" t="s">
        <v>1013</v>
      </c>
      <c r="B713" s="502"/>
      <c r="C713" s="502"/>
      <c r="D713" s="502"/>
      <c r="E713" s="502"/>
      <c r="F713" s="502"/>
      <c r="G713" s="502"/>
      <c r="H713" s="502"/>
      <c r="I713" s="502"/>
      <c r="J713" s="502"/>
    </row>
    <row r="714" spans="2:10" s="168" customFormat="1" ht="15" customHeight="1">
      <c r="B714" s="495" t="s">
        <v>779</v>
      </c>
      <c r="C714" s="496"/>
      <c r="D714" s="496"/>
      <c r="E714" s="169">
        <v>2065988</v>
      </c>
      <c r="F714" s="497">
        <v>0</v>
      </c>
      <c r="G714" s="497"/>
      <c r="H714" s="497"/>
      <c r="J714" s="169">
        <v>2065988</v>
      </c>
    </row>
    <row r="715" spans="2:10" ht="15" customHeight="1">
      <c r="B715" s="501" t="s">
        <v>778</v>
      </c>
      <c r="C715" s="502"/>
      <c r="D715" s="502"/>
      <c r="E715" s="164">
        <v>1859859</v>
      </c>
      <c r="F715" s="503">
        <v>0</v>
      </c>
      <c r="G715" s="503"/>
      <c r="H715" s="503"/>
      <c r="J715" s="164">
        <v>1859859</v>
      </c>
    </row>
    <row r="716" spans="2:10" ht="15" customHeight="1">
      <c r="B716" s="501" t="s">
        <v>777</v>
      </c>
      <c r="C716" s="502"/>
      <c r="D716" s="502"/>
      <c r="E716" s="164">
        <v>205288</v>
      </c>
      <c r="F716" s="503">
        <v>0</v>
      </c>
      <c r="G716" s="503"/>
      <c r="H716" s="503"/>
      <c r="J716" s="164">
        <v>205288</v>
      </c>
    </row>
    <row r="717" spans="2:10" ht="15" customHeight="1">
      <c r="B717" s="501" t="s">
        <v>774</v>
      </c>
      <c r="C717" s="502"/>
      <c r="D717" s="502"/>
      <c r="E717" s="164">
        <v>841</v>
      </c>
      <c r="F717" s="503">
        <v>0</v>
      </c>
      <c r="G717" s="503"/>
      <c r="H717" s="503"/>
      <c r="J717" s="164">
        <v>841</v>
      </c>
    </row>
    <row r="718" ht="9" customHeight="1"/>
    <row r="719" spans="1:10" ht="15">
      <c r="A719" s="504" t="s">
        <v>782</v>
      </c>
      <c r="B719" s="502"/>
      <c r="C719" s="502"/>
      <c r="D719" s="502"/>
      <c r="E719" s="502"/>
      <c r="F719" s="502"/>
      <c r="G719" s="502"/>
      <c r="H719" s="502"/>
      <c r="I719" s="502"/>
      <c r="J719" s="502"/>
    </row>
    <row r="720" spans="2:10" s="168" customFormat="1" ht="15" customHeight="1">
      <c r="B720" s="495" t="s">
        <v>779</v>
      </c>
      <c r="C720" s="496"/>
      <c r="D720" s="496"/>
      <c r="E720" s="169">
        <v>60930</v>
      </c>
      <c r="F720" s="497">
        <v>0</v>
      </c>
      <c r="G720" s="497"/>
      <c r="H720" s="497"/>
      <c r="J720" s="169">
        <v>60930</v>
      </c>
    </row>
    <row r="721" spans="2:10" ht="15" customHeight="1">
      <c r="B721" s="501" t="s">
        <v>773</v>
      </c>
      <c r="C721" s="502"/>
      <c r="D721" s="502"/>
      <c r="E721" s="164">
        <v>60930</v>
      </c>
      <c r="F721" s="503">
        <v>0</v>
      </c>
      <c r="G721" s="503"/>
      <c r="H721" s="503"/>
      <c r="J721" s="164">
        <v>60930</v>
      </c>
    </row>
    <row r="722" ht="9" customHeight="1"/>
    <row r="723" spans="1:10" ht="19.5" customHeight="1">
      <c r="A723" s="509" t="s">
        <v>873</v>
      </c>
      <c r="B723" s="506"/>
      <c r="C723" s="506"/>
      <c r="D723" s="506"/>
      <c r="E723" s="506"/>
      <c r="F723" s="506"/>
      <c r="G723" s="506"/>
      <c r="H723" s="506"/>
      <c r="I723" s="506"/>
      <c r="J723" s="506"/>
    </row>
    <row r="724" spans="1:10" ht="15" customHeight="1">
      <c r="A724" s="166"/>
      <c r="B724" s="505" t="s">
        <v>779</v>
      </c>
      <c r="C724" s="506"/>
      <c r="D724" s="506"/>
      <c r="E724" s="473">
        <v>5044382</v>
      </c>
      <c r="F724" s="507">
        <v>250490</v>
      </c>
      <c r="G724" s="508"/>
      <c r="H724" s="508"/>
      <c r="I724" s="166"/>
      <c r="J724" s="473">
        <v>5294872</v>
      </c>
    </row>
    <row r="725" spans="1:10" ht="30" customHeight="1" hidden="1">
      <c r="A725" s="166"/>
      <c r="B725" s="505" t="s">
        <v>772</v>
      </c>
      <c r="C725" s="506"/>
      <c r="D725" s="506"/>
      <c r="E725" s="473">
        <v>0</v>
      </c>
      <c r="F725" s="507">
        <v>0</v>
      </c>
      <c r="G725" s="507"/>
      <c r="H725" s="507"/>
      <c r="I725" s="166"/>
      <c r="J725" s="473">
        <v>0</v>
      </c>
    </row>
    <row r="726" spans="1:10" ht="15" customHeight="1">
      <c r="A726" s="166"/>
      <c r="B726" s="505" t="s">
        <v>771</v>
      </c>
      <c r="C726" s="506"/>
      <c r="D726" s="506"/>
      <c r="E726" s="473">
        <v>4495164</v>
      </c>
      <c r="F726" s="507">
        <v>250490</v>
      </c>
      <c r="G726" s="508"/>
      <c r="H726" s="508"/>
      <c r="I726" s="166"/>
      <c r="J726" s="473">
        <v>4745654</v>
      </c>
    </row>
    <row r="727" spans="1:10" ht="30" customHeight="1">
      <c r="A727" s="166"/>
      <c r="B727" s="505" t="s">
        <v>770</v>
      </c>
      <c r="C727" s="506"/>
      <c r="D727" s="506"/>
      <c r="E727" s="473">
        <v>389575</v>
      </c>
      <c r="F727" s="507">
        <v>0</v>
      </c>
      <c r="G727" s="507"/>
      <c r="H727" s="507"/>
      <c r="I727" s="166"/>
      <c r="J727" s="473">
        <v>389575</v>
      </c>
    </row>
    <row r="728" spans="1:10" ht="30" customHeight="1">
      <c r="A728" s="166"/>
      <c r="B728" s="505" t="s">
        <v>769</v>
      </c>
      <c r="C728" s="506"/>
      <c r="D728" s="506"/>
      <c r="E728" s="473">
        <v>159643</v>
      </c>
      <c r="F728" s="507">
        <v>0</v>
      </c>
      <c r="G728" s="507"/>
      <c r="H728" s="507"/>
      <c r="I728" s="166"/>
      <c r="J728" s="473">
        <v>159643</v>
      </c>
    </row>
    <row r="729" ht="9" customHeight="1"/>
    <row r="730" spans="1:10" ht="19.5" customHeight="1">
      <c r="A730" s="504" t="s">
        <v>781</v>
      </c>
      <c r="B730" s="502"/>
      <c r="C730" s="502"/>
      <c r="D730" s="502"/>
      <c r="E730" s="502"/>
      <c r="F730" s="502"/>
      <c r="G730" s="502"/>
      <c r="H730" s="502"/>
      <c r="I730" s="502"/>
      <c r="J730" s="502"/>
    </row>
    <row r="731" spans="2:10" s="168" customFormat="1" ht="15" customHeight="1">
      <c r="B731" s="495" t="s">
        <v>779</v>
      </c>
      <c r="C731" s="496"/>
      <c r="D731" s="496"/>
      <c r="E731" s="169">
        <v>4495164</v>
      </c>
      <c r="F731" s="497">
        <v>250490</v>
      </c>
      <c r="G731" s="500"/>
      <c r="H731" s="500"/>
      <c r="J731" s="169">
        <v>4745654</v>
      </c>
    </row>
    <row r="732" spans="2:10" ht="15" customHeight="1">
      <c r="B732" s="501" t="s">
        <v>771</v>
      </c>
      <c r="C732" s="502"/>
      <c r="D732" s="502"/>
      <c r="E732" s="164">
        <v>4495164</v>
      </c>
      <c r="F732" s="503">
        <v>250490</v>
      </c>
      <c r="G732" s="499"/>
      <c r="H732" s="499"/>
      <c r="J732" s="164">
        <v>4745654</v>
      </c>
    </row>
    <row r="733" ht="9" customHeight="1"/>
    <row r="734" spans="1:10" ht="19.5" customHeight="1">
      <c r="A734" s="504" t="s">
        <v>780</v>
      </c>
      <c r="B734" s="502"/>
      <c r="C734" s="502"/>
      <c r="D734" s="502"/>
      <c r="E734" s="502"/>
      <c r="F734" s="502"/>
      <c r="G734" s="502"/>
      <c r="H734" s="502"/>
      <c r="I734" s="502"/>
      <c r="J734" s="502"/>
    </row>
    <row r="735" spans="2:10" s="168" customFormat="1" ht="15" customHeight="1">
      <c r="B735" s="495" t="s">
        <v>779</v>
      </c>
      <c r="C735" s="496"/>
      <c r="D735" s="496"/>
      <c r="E735" s="169">
        <v>389575</v>
      </c>
      <c r="F735" s="497">
        <v>0</v>
      </c>
      <c r="G735" s="497"/>
      <c r="H735" s="497"/>
      <c r="J735" s="169">
        <v>389575</v>
      </c>
    </row>
    <row r="736" spans="2:10" ht="30" customHeight="1">
      <c r="B736" s="501" t="s">
        <v>770</v>
      </c>
      <c r="C736" s="502"/>
      <c r="D736" s="502"/>
      <c r="E736" s="164">
        <v>389575</v>
      </c>
      <c r="F736" s="503">
        <v>0</v>
      </c>
      <c r="G736" s="503"/>
      <c r="H736" s="503"/>
      <c r="J736" s="164">
        <v>389575</v>
      </c>
    </row>
    <row r="737" ht="9" customHeight="1"/>
    <row r="738" spans="1:10" ht="19.5" customHeight="1">
      <c r="A738" s="504" t="s">
        <v>747</v>
      </c>
      <c r="B738" s="496"/>
      <c r="C738" s="496"/>
      <c r="D738" s="496"/>
      <c r="E738" s="496"/>
      <c r="F738" s="496"/>
      <c r="G738" s="496"/>
      <c r="H738" s="496"/>
      <c r="I738" s="496"/>
      <c r="J738" s="496"/>
    </row>
    <row r="739" spans="1:10" ht="15" customHeight="1">
      <c r="A739" s="168"/>
      <c r="B739" s="495" t="s">
        <v>779</v>
      </c>
      <c r="C739" s="496"/>
      <c r="D739" s="496"/>
      <c r="E739" s="169">
        <v>120086655</v>
      </c>
      <c r="F739" s="497">
        <f>1572353+102049</f>
        <v>1674402</v>
      </c>
      <c r="G739" s="500"/>
      <c r="H739" s="500"/>
      <c r="I739" s="168"/>
      <c r="J739" s="169">
        <f>121659008+102049</f>
        <v>121761057</v>
      </c>
    </row>
    <row r="740" spans="1:10" ht="15" customHeight="1">
      <c r="A740" s="168"/>
      <c r="B740" s="495" t="s">
        <v>778</v>
      </c>
      <c r="C740" s="496"/>
      <c r="D740" s="496"/>
      <c r="E740" s="169">
        <v>58189615</v>
      </c>
      <c r="F740" s="497">
        <f>67748+102049</f>
        <v>169797</v>
      </c>
      <c r="G740" s="500"/>
      <c r="H740" s="500"/>
      <c r="I740" s="168"/>
      <c r="J740" s="169">
        <f>58257363+102049</f>
        <v>58359412</v>
      </c>
    </row>
    <row r="741" spans="1:10" ht="15" customHeight="1">
      <c r="A741" s="168"/>
      <c r="B741" s="495" t="s">
        <v>777</v>
      </c>
      <c r="C741" s="496"/>
      <c r="D741" s="496"/>
      <c r="E741" s="169">
        <v>21441622</v>
      </c>
      <c r="F741" s="497">
        <v>190319</v>
      </c>
      <c r="G741" s="500"/>
      <c r="H741" s="500"/>
      <c r="I741" s="168"/>
      <c r="J741" s="169">
        <v>21631941</v>
      </c>
    </row>
    <row r="742" spans="1:10" ht="15" customHeight="1">
      <c r="A742" s="168"/>
      <c r="B742" s="495" t="s">
        <v>776</v>
      </c>
      <c r="C742" s="496"/>
      <c r="D742" s="496"/>
      <c r="E742" s="169">
        <v>7543563</v>
      </c>
      <c r="F742" s="497">
        <v>7800</v>
      </c>
      <c r="G742" s="500"/>
      <c r="H742" s="500"/>
      <c r="I742" s="168"/>
      <c r="J742" s="169">
        <v>7551363</v>
      </c>
    </row>
    <row r="743" spans="1:10" ht="15" customHeight="1">
      <c r="A743" s="168"/>
      <c r="B743" s="495" t="s">
        <v>775</v>
      </c>
      <c r="C743" s="496"/>
      <c r="D743" s="496"/>
      <c r="E743" s="169">
        <v>4840038</v>
      </c>
      <c r="F743" s="497">
        <v>0</v>
      </c>
      <c r="G743" s="497"/>
      <c r="H743" s="497"/>
      <c r="I743" s="168"/>
      <c r="J743" s="169">
        <v>4840038</v>
      </c>
    </row>
    <row r="744" spans="1:10" ht="15" customHeight="1">
      <c r="A744" s="168"/>
      <c r="B744" s="495" t="s">
        <v>774</v>
      </c>
      <c r="C744" s="496"/>
      <c r="D744" s="496"/>
      <c r="E744" s="169">
        <v>16301794</v>
      </c>
      <c r="F744" s="497">
        <v>919420</v>
      </c>
      <c r="G744" s="500"/>
      <c r="H744" s="500"/>
      <c r="I744" s="168"/>
      <c r="J744" s="169">
        <v>17221214</v>
      </c>
    </row>
    <row r="745" spans="1:10" ht="15" customHeight="1">
      <c r="A745" s="168"/>
      <c r="B745" s="495" t="s">
        <v>773</v>
      </c>
      <c r="C745" s="496"/>
      <c r="D745" s="496"/>
      <c r="E745" s="169">
        <v>5490592</v>
      </c>
      <c r="F745" s="497">
        <v>1050</v>
      </c>
      <c r="G745" s="500"/>
      <c r="H745" s="500"/>
      <c r="I745" s="168"/>
      <c r="J745" s="169">
        <v>5491642</v>
      </c>
    </row>
    <row r="746" spans="1:10" ht="30" customHeight="1">
      <c r="A746" s="168"/>
      <c r="B746" s="495" t="s">
        <v>772</v>
      </c>
      <c r="C746" s="496"/>
      <c r="D746" s="496"/>
      <c r="E746" s="169">
        <v>1235049</v>
      </c>
      <c r="F746" s="497">
        <v>111966</v>
      </c>
      <c r="G746" s="500"/>
      <c r="H746" s="500"/>
      <c r="I746" s="168"/>
      <c r="J746" s="169">
        <v>1347015</v>
      </c>
    </row>
    <row r="747" spans="1:10" ht="15" customHeight="1">
      <c r="A747" s="168"/>
      <c r="B747" s="495" t="s">
        <v>1012</v>
      </c>
      <c r="C747" s="496"/>
      <c r="D747" s="496"/>
      <c r="E747" s="169">
        <v>0</v>
      </c>
      <c r="F747" s="497">
        <v>23560</v>
      </c>
      <c r="G747" s="500"/>
      <c r="H747" s="500"/>
      <c r="I747" s="168"/>
      <c r="J747" s="169">
        <v>23560</v>
      </c>
    </row>
    <row r="748" spans="1:10" ht="15" customHeight="1">
      <c r="A748" s="168"/>
      <c r="B748" s="495" t="s">
        <v>771</v>
      </c>
      <c r="C748" s="496"/>
      <c r="D748" s="496"/>
      <c r="E748" s="169">
        <v>4495164</v>
      </c>
      <c r="F748" s="497">
        <v>250490</v>
      </c>
      <c r="G748" s="500"/>
      <c r="H748" s="500"/>
      <c r="I748" s="168"/>
      <c r="J748" s="169">
        <v>4745654</v>
      </c>
    </row>
    <row r="749" spans="1:10" ht="30" customHeight="1">
      <c r="A749" s="168"/>
      <c r="B749" s="495" t="s">
        <v>770</v>
      </c>
      <c r="C749" s="496"/>
      <c r="D749" s="496"/>
      <c r="E749" s="169">
        <v>389575</v>
      </c>
      <c r="F749" s="497">
        <v>0</v>
      </c>
      <c r="G749" s="497"/>
      <c r="H749" s="497"/>
      <c r="I749" s="168"/>
      <c r="J749" s="169">
        <v>389575</v>
      </c>
    </row>
    <row r="750" spans="1:10" ht="30" customHeight="1">
      <c r="A750" s="168"/>
      <c r="B750" s="495" t="s">
        <v>769</v>
      </c>
      <c r="C750" s="496"/>
      <c r="D750" s="496"/>
      <c r="E750" s="169">
        <v>159643</v>
      </c>
      <c r="F750" s="497">
        <v>0</v>
      </c>
      <c r="G750" s="497"/>
      <c r="H750" s="497"/>
      <c r="I750" s="168"/>
      <c r="J750" s="169">
        <v>159643</v>
      </c>
    </row>
    <row r="751" spans="8:10" ht="14.25" customHeight="1">
      <c r="H751" s="498"/>
      <c r="I751" s="499"/>
      <c r="J751" s="499"/>
    </row>
    <row r="753" spans="1:10" ht="15.75">
      <c r="A753" s="527" t="s">
        <v>145</v>
      </c>
      <c r="B753" s="527"/>
      <c r="J753" s="135" t="s">
        <v>146</v>
      </c>
    </row>
  </sheetData>
  <sheetProtection/>
  <mergeCells count="1090">
    <mergeCell ref="F7:H7"/>
    <mergeCell ref="I7:J7"/>
    <mergeCell ref="A753:B753"/>
    <mergeCell ref="A9:J9"/>
    <mergeCell ref="B10:D10"/>
    <mergeCell ref="F10:H10"/>
    <mergeCell ref="B11:D11"/>
    <mergeCell ref="F11:H11"/>
    <mergeCell ref="B15:D15"/>
    <mergeCell ref="F15:H15"/>
    <mergeCell ref="G2:J2"/>
    <mergeCell ref="C3:J3"/>
    <mergeCell ref="D4:J4"/>
    <mergeCell ref="A6:J6"/>
    <mergeCell ref="A7:D7"/>
    <mergeCell ref="B14:D14"/>
    <mergeCell ref="F14:H14"/>
    <mergeCell ref="B12:D12"/>
    <mergeCell ref="F12:H12"/>
    <mergeCell ref="B13:D13"/>
    <mergeCell ref="F13:H13"/>
    <mergeCell ref="A19:J19"/>
    <mergeCell ref="B20:D20"/>
    <mergeCell ref="F20:H20"/>
    <mergeCell ref="B21:D21"/>
    <mergeCell ref="F21:H21"/>
    <mergeCell ref="B16:D16"/>
    <mergeCell ref="F16:H16"/>
    <mergeCell ref="B17:D17"/>
    <mergeCell ref="F17:H17"/>
    <mergeCell ref="B24:D24"/>
    <mergeCell ref="F24:H24"/>
    <mergeCell ref="A26:J26"/>
    <mergeCell ref="B27:D27"/>
    <mergeCell ref="F27:H27"/>
    <mergeCell ref="B22:D22"/>
    <mergeCell ref="F22:H22"/>
    <mergeCell ref="B23:D23"/>
    <mergeCell ref="F23:H23"/>
    <mergeCell ref="B32:D32"/>
    <mergeCell ref="F32:H32"/>
    <mergeCell ref="A34:J34"/>
    <mergeCell ref="B35:D35"/>
    <mergeCell ref="F35:H35"/>
    <mergeCell ref="B28:D28"/>
    <mergeCell ref="F28:H28"/>
    <mergeCell ref="A30:J30"/>
    <mergeCell ref="B31:D31"/>
    <mergeCell ref="F31:H31"/>
    <mergeCell ref="A39:J39"/>
    <mergeCell ref="B40:D40"/>
    <mergeCell ref="F40:H40"/>
    <mergeCell ref="B41:D41"/>
    <mergeCell ref="F41:H41"/>
    <mergeCell ref="B36:D36"/>
    <mergeCell ref="F36:H36"/>
    <mergeCell ref="B37:D37"/>
    <mergeCell ref="F37:H37"/>
    <mergeCell ref="B46:D46"/>
    <mergeCell ref="F46:H46"/>
    <mergeCell ref="A48:J48"/>
    <mergeCell ref="B49:D49"/>
    <mergeCell ref="F49:H49"/>
    <mergeCell ref="B42:D42"/>
    <mergeCell ref="F42:H42"/>
    <mergeCell ref="A44:J44"/>
    <mergeCell ref="B45:D45"/>
    <mergeCell ref="F45:H45"/>
    <mergeCell ref="B54:D54"/>
    <mergeCell ref="F54:H54"/>
    <mergeCell ref="B55:D55"/>
    <mergeCell ref="F55:H55"/>
    <mergeCell ref="B50:D50"/>
    <mergeCell ref="F50:H50"/>
    <mergeCell ref="A52:J52"/>
    <mergeCell ref="B53:D53"/>
    <mergeCell ref="F53:H53"/>
    <mergeCell ref="B60:D60"/>
    <mergeCell ref="F60:H60"/>
    <mergeCell ref="B61:D61"/>
    <mergeCell ref="F61:H61"/>
    <mergeCell ref="A57:J57"/>
    <mergeCell ref="B58:D58"/>
    <mergeCell ref="F58:H58"/>
    <mergeCell ref="B59:D59"/>
    <mergeCell ref="F59:H59"/>
    <mergeCell ref="A67:J67"/>
    <mergeCell ref="B68:D68"/>
    <mergeCell ref="F68:H68"/>
    <mergeCell ref="B69:D69"/>
    <mergeCell ref="F69:H69"/>
    <mergeCell ref="A63:J63"/>
    <mergeCell ref="B64:D64"/>
    <mergeCell ref="F64:H64"/>
    <mergeCell ref="B65:D65"/>
    <mergeCell ref="F65:H65"/>
    <mergeCell ref="B74:D74"/>
    <mergeCell ref="F74:H74"/>
    <mergeCell ref="B75:D75"/>
    <mergeCell ref="F75:H75"/>
    <mergeCell ref="B70:D70"/>
    <mergeCell ref="F70:H70"/>
    <mergeCell ref="A72:J72"/>
    <mergeCell ref="B73:D73"/>
    <mergeCell ref="F73:H73"/>
    <mergeCell ref="B80:D80"/>
    <mergeCell ref="F80:H80"/>
    <mergeCell ref="B81:D81"/>
    <mergeCell ref="F81:H81"/>
    <mergeCell ref="B76:D76"/>
    <mergeCell ref="F76:H76"/>
    <mergeCell ref="A78:J78"/>
    <mergeCell ref="B79:D79"/>
    <mergeCell ref="F79:H79"/>
    <mergeCell ref="B86:D86"/>
    <mergeCell ref="F86:H86"/>
    <mergeCell ref="A88:J88"/>
    <mergeCell ref="B89:D89"/>
    <mergeCell ref="F89:H89"/>
    <mergeCell ref="B82:D82"/>
    <mergeCell ref="F82:H82"/>
    <mergeCell ref="A84:J84"/>
    <mergeCell ref="B85:D85"/>
    <mergeCell ref="F85:H85"/>
    <mergeCell ref="B94:D94"/>
    <mergeCell ref="F94:H94"/>
    <mergeCell ref="B95:D95"/>
    <mergeCell ref="F95:H95"/>
    <mergeCell ref="B90:D90"/>
    <mergeCell ref="F90:H90"/>
    <mergeCell ref="A92:J92"/>
    <mergeCell ref="B93:D93"/>
    <mergeCell ref="F93:H93"/>
    <mergeCell ref="A99:J99"/>
    <mergeCell ref="B100:D100"/>
    <mergeCell ref="F100:H100"/>
    <mergeCell ref="B101:D101"/>
    <mergeCell ref="F101:H101"/>
    <mergeCell ref="B96:D96"/>
    <mergeCell ref="F96:H96"/>
    <mergeCell ref="B97:D97"/>
    <mergeCell ref="F97:H97"/>
    <mergeCell ref="B106:D106"/>
    <mergeCell ref="F106:H106"/>
    <mergeCell ref="A108:J108"/>
    <mergeCell ref="B109:D109"/>
    <mergeCell ref="F109:H109"/>
    <mergeCell ref="B102:D102"/>
    <mergeCell ref="F102:H102"/>
    <mergeCell ref="A104:J104"/>
    <mergeCell ref="B105:D105"/>
    <mergeCell ref="F105:H105"/>
    <mergeCell ref="B114:D114"/>
    <mergeCell ref="F114:H114"/>
    <mergeCell ref="A116:J116"/>
    <mergeCell ref="B117:D117"/>
    <mergeCell ref="F117:H117"/>
    <mergeCell ref="B110:D110"/>
    <mergeCell ref="F110:H110"/>
    <mergeCell ref="A112:J112"/>
    <mergeCell ref="B113:D113"/>
    <mergeCell ref="F113:H113"/>
    <mergeCell ref="B120:D120"/>
    <mergeCell ref="F120:H120"/>
    <mergeCell ref="A122:J122"/>
    <mergeCell ref="B123:D123"/>
    <mergeCell ref="F123:H123"/>
    <mergeCell ref="B118:D118"/>
    <mergeCell ref="F118:H118"/>
    <mergeCell ref="B119:D119"/>
    <mergeCell ref="F119:H119"/>
    <mergeCell ref="B126:D126"/>
    <mergeCell ref="F126:H126"/>
    <mergeCell ref="A128:J128"/>
    <mergeCell ref="B129:D129"/>
    <mergeCell ref="F129:H129"/>
    <mergeCell ref="B124:D124"/>
    <mergeCell ref="F124:H124"/>
    <mergeCell ref="B125:D125"/>
    <mergeCell ref="F125:H125"/>
    <mergeCell ref="B132:D132"/>
    <mergeCell ref="F132:H132"/>
    <mergeCell ref="B133:D133"/>
    <mergeCell ref="F133:H133"/>
    <mergeCell ref="B130:D130"/>
    <mergeCell ref="F130:H130"/>
    <mergeCell ref="B131:D131"/>
    <mergeCell ref="F131:H131"/>
    <mergeCell ref="A139:J139"/>
    <mergeCell ref="B140:D140"/>
    <mergeCell ref="F140:H140"/>
    <mergeCell ref="B141:D141"/>
    <mergeCell ref="F141:H141"/>
    <mergeCell ref="A135:J135"/>
    <mergeCell ref="B136:D136"/>
    <mergeCell ref="F136:H136"/>
    <mergeCell ref="B137:D137"/>
    <mergeCell ref="F137:H137"/>
    <mergeCell ref="B146:D146"/>
    <mergeCell ref="F146:H146"/>
    <mergeCell ref="A148:J148"/>
    <mergeCell ref="B149:D149"/>
    <mergeCell ref="F149:H149"/>
    <mergeCell ref="B142:D142"/>
    <mergeCell ref="F142:H142"/>
    <mergeCell ref="A144:J144"/>
    <mergeCell ref="B145:D145"/>
    <mergeCell ref="F145:H145"/>
    <mergeCell ref="B154:D154"/>
    <mergeCell ref="F154:H154"/>
    <mergeCell ref="A156:J156"/>
    <mergeCell ref="B157:D157"/>
    <mergeCell ref="F157:H157"/>
    <mergeCell ref="B150:D150"/>
    <mergeCell ref="F150:H150"/>
    <mergeCell ref="A152:J152"/>
    <mergeCell ref="B153:D153"/>
    <mergeCell ref="F153:H153"/>
    <mergeCell ref="B162:D162"/>
    <mergeCell ref="F162:H162"/>
    <mergeCell ref="A164:J164"/>
    <mergeCell ref="B165:D165"/>
    <mergeCell ref="F165:H165"/>
    <mergeCell ref="B158:D158"/>
    <mergeCell ref="F158:H158"/>
    <mergeCell ref="A160:J160"/>
    <mergeCell ref="B161:D161"/>
    <mergeCell ref="F161:H161"/>
    <mergeCell ref="B170:D170"/>
    <mergeCell ref="F170:H170"/>
    <mergeCell ref="A172:J172"/>
    <mergeCell ref="B173:D173"/>
    <mergeCell ref="F173:H173"/>
    <mergeCell ref="B166:D166"/>
    <mergeCell ref="F166:H166"/>
    <mergeCell ref="A168:J168"/>
    <mergeCell ref="B169:D169"/>
    <mergeCell ref="F169:H169"/>
    <mergeCell ref="B178:D178"/>
    <mergeCell ref="F178:H178"/>
    <mergeCell ref="A180:J180"/>
    <mergeCell ref="B181:D181"/>
    <mergeCell ref="F181:H181"/>
    <mergeCell ref="B174:D174"/>
    <mergeCell ref="F174:H174"/>
    <mergeCell ref="A176:J176"/>
    <mergeCell ref="B177:D177"/>
    <mergeCell ref="F177:H177"/>
    <mergeCell ref="A185:J185"/>
    <mergeCell ref="B186:D186"/>
    <mergeCell ref="F186:H186"/>
    <mergeCell ref="B187:D187"/>
    <mergeCell ref="F187:H187"/>
    <mergeCell ref="B182:D182"/>
    <mergeCell ref="F182:H182"/>
    <mergeCell ref="B183:D183"/>
    <mergeCell ref="F183:H183"/>
    <mergeCell ref="B192:D192"/>
    <mergeCell ref="F192:H192"/>
    <mergeCell ref="B193:D193"/>
    <mergeCell ref="F193:H193"/>
    <mergeCell ref="B188:D188"/>
    <mergeCell ref="F188:H188"/>
    <mergeCell ref="A190:J190"/>
    <mergeCell ref="B191:D191"/>
    <mergeCell ref="F191:H191"/>
    <mergeCell ref="A197:J197"/>
    <mergeCell ref="B198:D198"/>
    <mergeCell ref="F198:H198"/>
    <mergeCell ref="B199:D199"/>
    <mergeCell ref="F199:H199"/>
    <mergeCell ref="B194:D194"/>
    <mergeCell ref="F194:H194"/>
    <mergeCell ref="B195:D195"/>
    <mergeCell ref="F195:H195"/>
    <mergeCell ref="B202:D202"/>
    <mergeCell ref="F202:H202"/>
    <mergeCell ref="A204:J204"/>
    <mergeCell ref="B205:D205"/>
    <mergeCell ref="F205:H205"/>
    <mergeCell ref="B200:D200"/>
    <mergeCell ref="F200:H200"/>
    <mergeCell ref="B201:D201"/>
    <mergeCell ref="F201:H201"/>
    <mergeCell ref="B208:D208"/>
    <mergeCell ref="F208:H208"/>
    <mergeCell ref="A210:J210"/>
    <mergeCell ref="B211:D211"/>
    <mergeCell ref="F211:H211"/>
    <mergeCell ref="B206:D206"/>
    <mergeCell ref="F206:H206"/>
    <mergeCell ref="B207:D207"/>
    <mergeCell ref="F207:H207"/>
    <mergeCell ref="A215:J215"/>
    <mergeCell ref="B216:D216"/>
    <mergeCell ref="F216:H216"/>
    <mergeCell ref="B217:D217"/>
    <mergeCell ref="F217:H217"/>
    <mergeCell ref="B212:D212"/>
    <mergeCell ref="F212:H212"/>
    <mergeCell ref="B213:D213"/>
    <mergeCell ref="F213:H213"/>
    <mergeCell ref="B222:D222"/>
    <mergeCell ref="F222:H222"/>
    <mergeCell ref="B223:D223"/>
    <mergeCell ref="F223:H223"/>
    <mergeCell ref="B218:D218"/>
    <mergeCell ref="F218:H218"/>
    <mergeCell ref="A220:J220"/>
    <mergeCell ref="B221:D221"/>
    <mergeCell ref="F221:H221"/>
    <mergeCell ref="B228:D228"/>
    <mergeCell ref="F228:H228"/>
    <mergeCell ref="A230:J230"/>
    <mergeCell ref="B231:D231"/>
    <mergeCell ref="F231:H231"/>
    <mergeCell ref="A225:J225"/>
    <mergeCell ref="B226:D226"/>
    <mergeCell ref="F226:H226"/>
    <mergeCell ref="B227:D227"/>
    <mergeCell ref="F227:H227"/>
    <mergeCell ref="A235:J235"/>
    <mergeCell ref="B236:D236"/>
    <mergeCell ref="F236:H236"/>
    <mergeCell ref="B237:D237"/>
    <mergeCell ref="F237:H237"/>
    <mergeCell ref="B232:D232"/>
    <mergeCell ref="F232:H232"/>
    <mergeCell ref="B233:D233"/>
    <mergeCell ref="F233:H233"/>
    <mergeCell ref="A241:J241"/>
    <mergeCell ref="B242:D242"/>
    <mergeCell ref="F242:H242"/>
    <mergeCell ref="B243:D243"/>
    <mergeCell ref="F243:H243"/>
    <mergeCell ref="B238:D238"/>
    <mergeCell ref="F238:H238"/>
    <mergeCell ref="B239:D239"/>
    <mergeCell ref="F239:H239"/>
    <mergeCell ref="A247:J247"/>
    <mergeCell ref="B248:D248"/>
    <mergeCell ref="F248:H248"/>
    <mergeCell ref="B249:D249"/>
    <mergeCell ref="F249:H249"/>
    <mergeCell ref="B244:D244"/>
    <mergeCell ref="F244:H244"/>
    <mergeCell ref="B245:D245"/>
    <mergeCell ref="F245:H245"/>
    <mergeCell ref="A253:J253"/>
    <mergeCell ref="B254:D254"/>
    <mergeCell ref="F254:H254"/>
    <mergeCell ref="B255:D255"/>
    <mergeCell ref="F255:H255"/>
    <mergeCell ref="B250:D250"/>
    <mergeCell ref="F250:H250"/>
    <mergeCell ref="B251:D251"/>
    <mergeCell ref="F251:H251"/>
    <mergeCell ref="B258:D258"/>
    <mergeCell ref="F258:H258"/>
    <mergeCell ref="B259:D259"/>
    <mergeCell ref="F259:H259"/>
    <mergeCell ref="B256:D256"/>
    <mergeCell ref="F256:H256"/>
    <mergeCell ref="B257:D257"/>
    <mergeCell ref="F257:H257"/>
    <mergeCell ref="B264:D264"/>
    <mergeCell ref="F264:H264"/>
    <mergeCell ref="B265:D265"/>
    <mergeCell ref="F265:H265"/>
    <mergeCell ref="A261:J261"/>
    <mergeCell ref="B262:D262"/>
    <mergeCell ref="F262:H262"/>
    <mergeCell ref="B263:D263"/>
    <mergeCell ref="F263:H263"/>
    <mergeCell ref="A271:J271"/>
    <mergeCell ref="B272:D272"/>
    <mergeCell ref="F272:H272"/>
    <mergeCell ref="B273:D273"/>
    <mergeCell ref="F273:H273"/>
    <mergeCell ref="A267:J267"/>
    <mergeCell ref="B268:D268"/>
    <mergeCell ref="F268:H268"/>
    <mergeCell ref="B269:D269"/>
    <mergeCell ref="F269:H269"/>
    <mergeCell ref="A279:J279"/>
    <mergeCell ref="B280:D280"/>
    <mergeCell ref="F280:H280"/>
    <mergeCell ref="B281:D281"/>
    <mergeCell ref="F281:H281"/>
    <mergeCell ref="A275:J275"/>
    <mergeCell ref="B276:D276"/>
    <mergeCell ref="F276:H276"/>
    <mergeCell ref="B277:D277"/>
    <mergeCell ref="F277:H277"/>
    <mergeCell ref="A287:J287"/>
    <mergeCell ref="B288:D288"/>
    <mergeCell ref="F288:H288"/>
    <mergeCell ref="B289:D289"/>
    <mergeCell ref="F289:H289"/>
    <mergeCell ref="A283:J283"/>
    <mergeCell ref="B284:D284"/>
    <mergeCell ref="F284:H284"/>
    <mergeCell ref="B285:D285"/>
    <mergeCell ref="F285:H285"/>
    <mergeCell ref="A295:J295"/>
    <mergeCell ref="B296:D296"/>
    <mergeCell ref="F296:H296"/>
    <mergeCell ref="B297:D297"/>
    <mergeCell ref="F297:H297"/>
    <mergeCell ref="A291:J291"/>
    <mergeCell ref="B292:D292"/>
    <mergeCell ref="F292:H292"/>
    <mergeCell ref="B293:D293"/>
    <mergeCell ref="F293:H293"/>
    <mergeCell ref="B302:D302"/>
    <mergeCell ref="F302:H302"/>
    <mergeCell ref="A304:J304"/>
    <mergeCell ref="B305:D305"/>
    <mergeCell ref="F305:H305"/>
    <mergeCell ref="B298:D298"/>
    <mergeCell ref="F298:H298"/>
    <mergeCell ref="A300:J300"/>
    <mergeCell ref="B301:D301"/>
    <mergeCell ref="F301:H301"/>
    <mergeCell ref="B308:D308"/>
    <mergeCell ref="F308:H308"/>
    <mergeCell ref="A310:J310"/>
    <mergeCell ref="B311:D311"/>
    <mergeCell ref="F311:H311"/>
    <mergeCell ref="B306:D306"/>
    <mergeCell ref="F306:H306"/>
    <mergeCell ref="B307:D307"/>
    <mergeCell ref="F307:H307"/>
    <mergeCell ref="B314:D314"/>
    <mergeCell ref="F314:H314"/>
    <mergeCell ref="B315:D315"/>
    <mergeCell ref="F315:H315"/>
    <mergeCell ref="B312:D312"/>
    <mergeCell ref="F312:H312"/>
    <mergeCell ref="B313:D313"/>
    <mergeCell ref="F313:H313"/>
    <mergeCell ref="B320:D320"/>
    <mergeCell ref="F320:H320"/>
    <mergeCell ref="B321:D321"/>
    <mergeCell ref="F321:H321"/>
    <mergeCell ref="A317:J317"/>
    <mergeCell ref="B318:D318"/>
    <mergeCell ref="F318:H318"/>
    <mergeCell ref="B319:D319"/>
    <mergeCell ref="F319:H319"/>
    <mergeCell ref="B326:D326"/>
    <mergeCell ref="F326:H326"/>
    <mergeCell ref="B327:D327"/>
    <mergeCell ref="F327:H327"/>
    <mergeCell ref="A323:J323"/>
    <mergeCell ref="B324:D324"/>
    <mergeCell ref="F324:H324"/>
    <mergeCell ref="B325:D325"/>
    <mergeCell ref="F325:H325"/>
    <mergeCell ref="A331:J331"/>
    <mergeCell ref="B332:D332"/>
    <mergeCell ref="F332:H332"/>
    <mergeCell ref="B333:D333"/>
    <mergeCell ref="F333:H333"/>
    <mergeCell ref="B328:D328"/>
    <mergeCell ref="F328:H328"/>
    <mergeCell ref="B329:D329"/>
    <mergeCell ref="F329:H329"/>
    <mergeCell ref="A337:J337"/>
    <mergeCell ref="B338:D338"/>
    <mergeCell ref="F338:H338"/>
    <mergeCell ref="B339:D339"/>
    <mergeCell ref="F339:H339"/>
    <mergeCell ref="B334:D334"/>
    <mergeCell ref="F334:H334"/>
    <mergeCell ref="B335:D335"/>
    <mergeCell ref="F335:H335"/>
    <mergeCell ref="A343:J343"/>
    <mergeCell ref="B344:D344"/>
    <mergeCell ref="F344:H344"/>
    <mergeCell ref="B345:D345"/>
    <mergeCell ref="F345:H345"/>
    <mergeCell ref="B340:D340"/>
    <mergeCell ref="F340:H340"/>
    <mergeCell ref="B341:D341"/>
    <mergeCell ref="F341:H341"/>
    <mergeCell ref="A349:J349"/>
    <mergeCell ref="B350:D350"/>
    <mergeCell ref="F350:H350"/>
    <mergeCell ref="B351:D351"/>
    <mergeCell ref="F351:H351"/>
    <mergeCell ref="B346:D346"/>
    <mergeCell ref="F346:H346"/>
    <mergeCell ref="B347:D347"/>
    <mergeCell ref="F347:H347"/>
    <mergeCell ref="A355:J355"/>
    <mergeCell ref="B356:D356"/>
    <mergeCell ref="F356:H356"/>
    <mergeCell ref="B357:D357"/>
    <mergeCell ref="F357:H357"/>
    <mergeCell ref="B352:D352"/>
    <mergeCell ref="F352:H352"/>
    <mergeCell ref="B353:D353"/>
    <mergeCell ref="F353:H353"/>
    <mergeCell ref="B362:D362"/>
    <mergeCell ref="F362:H362"/>
    <mergeCell ref="B363:D363"/>
    <mergeCell ref="F363:H363"/>
    <mergeCell ref="B358:D358"/>
    <mergeCell ref="F358:H358"/>
    <mergeCell ref="A360:J360"/>
    <mergeCell ref="B361:D361"/>
    <mergeCell ref="F361:H361"/>
    <mergeCell ref="B368:D368"/>
    <mergeCell ref="F368:H368"/>
    <mergeCell ref="B369:D369"/>
    <mergeCell ref="F369:H369"/>
    <mergeCell ref="A365:J365"/>
    <mergeCell ref="B366:D366"/>
    <mergeCell ref="F366:H366"/>
    <mergeCell ref="B367:D367"/>
    <mergeCell ref="F367:H367"/>
    <mergeCell ref="B374:D374"/>
    <mergeCell ref="F374:H374"/>
    <mergeCell ref="B375:D375"/>
    <mergeCell ref="F375:H375"/>
    <mergeCell ref="B370:D370"/>
    <mergeCell ref="F370:H370"/>
    <mergeCell ref="A372:J372"/>
    <mergeCell ref="B373:D373"/>
    <mergeCell ref="F373:H373"/>
    <mergeCell ref="A379:J379"/>
    <mergeCell ref="B380:D380"/>
    <mergeCell ref="F380:H380"/>
    <mergeCell ref="B381:D381"/>
    <mergeCell ref="F381:H381"/>
    <mergeCell ref="B376:D376"/>
    <mergeCell ref="F376:H376"/>
    <mergeCell ref="B377:D377"/>
    <mergeCell ref="F377:H377"/>
    <mergeCell ref="B386:D386"/>
    <mergeCell ref="F386:H386"/>
    <mergeCell ref="B387:D387"/>
    <mergeCell ref="F387:H387"/>
    <mergeCell ref="B382:D382"/>
    <mergeCell ref="F382:H382"/>
    <mergeCell ref="A384:J384"/>
    <mergeCell ref="B385:D385"/>
    <mergeCell ref="F385:H385"/>
    <mergeCell ref="B392:D392"/>
    <mergeCell ref="F392:H392"/>
    <mergeCell ref="B393:D393"/>
    <mergeCell ref="F393:H393"/>
    <mergeCell ref="A389:J389"/>
    <mergeCell ref="B390:D390"/>
    <mergeCell ref="F390:H390"/>
    <mergeCell ref="B391:D391"/>
    <mergeCell ref="F391:H391"/>
    <mergeCell ref="B396:D396"/>
    <mergeCell ref="F396:H396"/>
    <mergeCell ref="A398:J398"/>
    <mergeCell ref="B399:D399"/>
    <mergeCell ref="F399:H399"/>
    <mergeCell ref="B394:D394"/>
    <mergeCell ref="F394:H394"/>
    <mergeCell ref="B395:D395"/>
    <mergeCell ref="F395:H395"/>
    <mergeCell ref="B402:D402"/>
    <mergeCell ref="F402:H402"/>
    <mergeCell ref="A404:J404"/>
    <mergeCell ref="B405:D405"/>
    <mergeCell ref="F405:H405"/>
    <mergeCell ref="B400:D400"/>
    <mergeCell ref="F400:H400"/>
    <mergeCell ref="B401:D401"/>
    <mergeCell ref="F401:H401"/>
    <mergeCell ref="B408:D408"/>
    <mergeCell ref="F408:H408"/>
    <mergeCell ref="B409:D409"/>
    <mergeCell ref="F409:H409"/>
    <mergeCell ref="B406:D406"/>
    <mergeCell ref="F406:H406"/>
    <mergeCell ref="B407:D407"/>
    <mergeCell ref="F407:H407"/>
    <mergeCell ref="B414:D414"/>
    <mergeCell ref="F414:H414"/>
    <mergeCell ref="A416:J416"/>
    <mergeCell ref="B417:D417"/>
    <mergeCell ref="F417:H417"/>
    <mergeCell ref="A411:J411"/>
    <mergeCell ref="B412:D412"/>
    <mergeCell ref="F412:H412"/>
    <mergeCell ref="B413:D413"/>
    <mergeCell ref="F413:H413"/>
    <mergeCell ref="A421:J421"/>
    <mergeCell ref="B422:D422"/>
    <mergeCell ref="F422:H422"/>
    <mergeCell ref="B423:D423"/>
    <mergeCell ref="F423:H423"/>
    <mergeCell ref="B418:D418"/>
    <mergeCell ref="F418:H418"/>
    <mergeCell ref="B419:D419"/>
    <mergeCell ref="F419:H419"/>
    <mergeCell ref="A427:J427"/>
    <mergeCell ref="B428:D428"/>
    <mergeCell ref="F428:H428"/>
    <mergeCell ref="B429:D429"/>
    <mergeCell ref="F429:H429"/>
    <mergeCell ref="B424:D424"/>
    <mergeCell ref="F424:H424"/>
    <mergeCell ref="B425:D425"/>
    <mergeCell ref="F425:H425"/>
    <mergeCell ref="B432:D432"/>
    <mergeCell ref="F432:H432"/>
    <mergeCell ref="B433:D433"/>
    <mergeCell ref="F433:H433"/>
    <mergeCell ref="B430:D430"/>
    <mergeCell ref="F430:H430"/>
    <mergeCell ref="B431:D431"/>
    <mergeCell ref="F431:H431"/>
    <mergeCell ref="B438:D438"/>
    <mergeCell ref="F438:H438"/>
    <mergeCell ref="B439:D439"/>
    <mergeCell ref="F439:H439"/>
    <mergeCell ref="A435:J435"/>
    <mergeCell ref="B436:D436"/>
    <mergeCell ref="F436:H436"/>
    <mergeCell ref="B437:D437"/>
    <mergeCell ref="F437:H437"/>
    <mergeCell ref="B444:D444"/>
    <mergeCell ref="F444:H444"/>
    <mergeCell ref="B445:D445"/>
    <mergeCell ref="F445:H445"/>
    <mergeCell ref="A441:J441"/>
    <mergeCell ref="B442:D442"/>
    <mergeCell ref="F442:H442"/>
    <mergeCell ref="B443:D443"/>
    <mergeCell ref="F443:H443"/>
    <mergeCell ref="B450:D450"/>
    <mergeCell ref="F450:H450"/>
    <mergeCell ref="A452:J452"/>
    <mergeCell ref="B453:D453"/>
    <mergeCell ref="F453:H453"/>
    <mergeCell ref="A447:J447"/>
    <mergeCell ref="B448:D448"/>
    <mergeCell ref="F448:H448"/>
    <mergeCell ref="B449:D449"/>
    <mergeCell ref="F449:H449"/>
    <mergeCell ref="B456:D456"/>
    <mergeCell ref="F456:H456"/>
    <mergeCell ref="B457:D457"/>
    <mergeCell ref="F457:H457"/>
    <mergeCell ref="B454:D454"/>
    <mergeCell ref="F454:H454"/>
    <mergeCell ref="B455:D455"/>
    <mergeCell ref="F455:H455"/>
    <mergeCell ref="B462:D462"/>
    <mergeCell ref="F462:H462"/>
    <mergeCell ref="B463:D463"/>
    <mergeCell ref="F463:H463"/>
    <mergeCell ref="B458:D458"/>
    <mergeCell ref="F458:H458"/>
    <mergeCell ref="A460:J460"/>
    <mergeCell ref="B461:D461"/>
    <mergeCell ref="F461:H461"/>
    <mergeCell ref="B466:D466"/>
    <mergeCell ref="F466:H466"/>
    <mergeCell ref="A468:J468"/>
    <mergeCell ref="B469:D469"/>
    <mergeCell ref="F469:H469"/>
    <mergeCell ref="B464:D464"/>
    <mergeCell ref="F464:H464"/>
    <mergeCell ref="B465:D465"/>
    <mergeCell ref="F465:H465"/>
    <mergeCell ref="A473:J473"/>
    <mergeCell ref="B474:D474"/>
    <mergeCell ref="F474:H474"/>
    <mergeCell ref="B475:D475"/>
    <mergeCell ref="F475:H475"/>
    <mergeCell ref="B470:D470"/>
    <mergeCell ref="F470:H470"/>
    <mergeCell ref="B471:D471"/>
    <mergeCell ref="F471:H471"/>
    <mergeCell ref="B478:D478"/>
    <mergeCell ref="F478:H478"/>
    <mergeCell ref="B479:D479"/>
    <mergeCell ref="F479:H479"/>
    <mergeCell ref="B476:D476"/>
    <mergeCell ref="F476:H476"/>
    <mergeCell ref="B477:D477"/>
    <mergeCell ref="F477:H477"/>
    <mergeCell ref="B484:D484"/>
    <mergeCell ref="F484:H484"/>
    <mergeCell ref="A486:J486"/>
    <mergeCell ref="B487:D487"/>
    <mergeCell ref="F487:H487"/>
    <mergeCell ref="B480:D480"/>
    <mergeCell ref="F480:H480"/>
    <mergeCell ref="A482:J482"/>
    <mergeCell ref="B483:D483"/>
    <mergeCell ref="F483:H483"/>
    <mergeCell ref="B490:D490"/>
    <mergeCell ref="F490:H490"/>
    <mergeCell ref="B491:D491"/>
    <mergeCell ref="F491:H491"/>
    <mergeCell ref="B488:D488"/>
    <mergeCell ref="F488:H488"/>
    <mergeCell ref="B489:D489"/>
    <mergeCell ref="F489:H489"/>
    <mergeCell ref="B496:D496"/>
    <mergeCell ref="F496:H496"/>
    <mergeCell ref="A498:J498"/>
    <mergeCell ref="B499:D499"/>
    <mergeCell ref="F499:H499"/>
    <mergeCell ref="B492:D492"/>
    <mergeCell ref="F492:H492"/>
    <mergeCell ref="A494:J494"/>
    <mergeCell ref="B495:D495"/>
    <mergeCell ref="F495:H495"/>
    <mergeCell ref="B502:D502"/>
    <mergeCell ref="F502:H502"/>
    <mergeCell ref="B503:D503"/>
    <mergeCell ref="F503:H503"/>
    <mergeCell ref="B500:D500"/>
    <mergeCell ref="F500:H500"/>
    <mergeCell ref="B501:D501"/>
    <mergeCell ref="F501:H501"/>
    <mergeCell ref="A507:J507"/>
    <mergeCell ref="B508:D508"/>
    <mergeCell ref="F508:H508"/>
    <mergeCell ref="B509:D509"/>
    <mergeCell ref="F509:H509"/>
    <mergeCell ref="B504:D504"/>
    <mergeCell ref="F504:H504"/>
    <mergeCell ref="B505:D505"/>
    <mergeCell ref="F505:H505"/>
    <mergeCell ref="B512:D512"/>
    <mergeCell ref="F512:H512"/>
    <mergeCell ref="A514:J514"/>
    <mergeCell ref="B515:D515"/>
    <mergeCell ref="F515:H515"/>
    <mergeCell ref="B510:D510"/>
    <mergeCell ref="F510:H510"/>
    <mergeCell ref="B511:D511"/>
    <mergeCell ref="F511:H511"/>
    <mergeCell ref="B518:D518"/>
    <mergeCell ref="F518:H518"/>
    <mergeCell ref="B519:D519"/>
    <mergeCell ref="F519:H519"/>
    <mergeCell ref="B516:D516"/>
    <mergeCell ref="F516:H516"/>
    <mergeCell ref="B517:D517"/>
    <mergeCell ref="F517:H517"/>
    <mergeCell ref="B524:D524"/>
    <mergeCell ref="F524:H524"/>
    <mergeCell ref="A526:J526"/>
    <mergeCell ref="B527:D527"/>
    <mergeCell ref="F527:H527"/>
    <mergeCell ref="B520:D520"/>
    <mergeCell ref="F520:H520"/>
    <mergeCell ref="A522:J522"/>
    <mergeCell ref="B523:D523"/>
    <mergeCell ref="F523:H523"/>
    <mergeCell ref="B530:D530"/>
    <mergeCell ref="F530:H530"/>
    <mergeCell ref="B531:D531"/>
    <mergeCell ref="F531:H531"/>
    <mergeCell ref="B528:D528"/>
    <mergeCell ref="F528:H528"/>
    <mergeCell ref="B529:D529"/>
    <mergeCell ref="F529:H529"/>
    <mergeCell ref="B536:D536"/>
    <mergeCell ref="F536:H536"/>
    <mergeCell ref="B537:D537"/>
    <mergeCell ref="F537:H537"/>
    <mergeCell ref="B532:D532"/>
    <mergeCell ref="F532:H532"/>
    <mergeCell ref="A534:J534"/>
    <mergeCell ref="B535:D535"/>
    <mergeCell ref="F535:H535"/>
    <mergeCell ref="B542:D542"/>
    <mergeCell ref="F542:H542"/>
    <mergeCell ref="B543:D543"/>
    <mergeCell ref="F543:H543"/>
    <mergeCell ref="B538:D538"/>
    <mergeCell ref="F538:H538"/>
    <mergeCell ref="A540:J540"/>
    <mergeCell ref="B541:D541"/>
    <mergeCell ref="F541:H541"/>
    <mergeCell ref="B546:D546"/>
    <mergeCell ref="F546:H546"/>
    <mergeCell ref="A548:J548"/>
    <mergeCell ref="B549:D549"/>
    <mergeCell ref="F549:H549"/>
    <mergeCell ref="B544:D544"/>
    <mergeCell ref="F544:H544"/>
    <mergeCell ref="B545:D545"/>
    <mergeCell ref="F545:H545"/>
    <mergeCell ref="B552:D552"/>
    <mergeCell ref="F552:H552"/>
    <mergeCell ref="B553:D553"/>
    <mergeCell ref="F553:H553"/>
    <mergeCell ref="B550:D550"/>
    <mergeCell ref="F550:H550"/>
    <mergeCell ref="B551:D551"/>
    <mergeCell ref="F551:H551"/>
    <mergeCell ref="A559:J559"/>
    <mergeCell ref="B560:D560"/>
    <mergeCell ref="F560:H560"/>
    <mergeCell ref="B561:D561"/>
    <mergeCell ref="F561:H561"/>
    <mergeCell ref="A555:J555"/>
    <mergeCell ref="B556:D556"/>
    <mergeCell ref="F556:H556"/>
    <mergeCell ref="B557:D557"/>
    <mergeCell ref="F557:H557"/>
    <mergeCell ref="A565:J565"/>
    <mergeCell ref="B566:D566"/>
    <mergeCell ref="F566:H566"/>
    <mergeCell ref="B567:D567"/>
    <mergeCell ref="F567:H567"/>
    <mergeCell ref="B562:D562"/>
    <mergeCell ref="F562:H562"/>
    <mergeCell ref="B563:D563"/>
    <mergeCell ref="F563:H563"/>
    <mergeCell ref="B572:D572"/>
    <mergeCell ref="F572:H572"/>
    <mergeCell ref="A574:J574"/>
    <mergeCell ref="B575:D575"/>
    <mergeCell ref="F575:H575"/>
    <mergeCell ref="A569:J569"/>
    <mergeCell ref="B570:D570"/>
    <mergeCell ref="F570:H570"/>
    <mergeCell ref="B571:D571"/>
    <mergeCell ref="F571:H571"/>
    <mergeCell ref="B578:D578"/>
    <mergeCell ref="F578:H578"/>
    <mergeCell ref="B579:D579"/>
    <mergeCell ref="F579:H579"/>
    <mergeCell ref="B576:D576"/>
    <mergeCell ref="F576:H576"/>
    <mergeCell ref="B577:D577"/>
    <mergeCell ref="F577:H577"/>
    <mergeCell ref="A585:J585"/>
    <mergeCell ref="B586:D586"/>
    <mergeCell ref="F586:H586"/>
    <mergeCell ref="B587:D587"/>
    <mergeCell ref="F587:H587"/>
    <mergeCell ref="A581:J581"/>
    <mergeCell ref="B582:D582"/>
    <mergeCell ref="F582:H582"/>
    <mergeCell ref="B583:D583"/>
    <mergeCell ref="F583:H583"/>
    <mergeCell ref="A591:J591"/>
    <mergeCell ref="B592:D592"/>
    <mergeCell ref="F592:H592"/>
    <mergeCell ref="B593:D593"/>
    <mergeCell ref="F593:H593"/>
    <mergeCell ref="B588:D588"/>
    <mergeCell ref="F588:H588"/>
    <mergeCell ref="B589:D589"/>
    <mergeCell ref="F589:H589"/>
    <mergeCell ref="A597:J597"/>
    <mergeCell ref="B598:D598"/>
    <mergeCell ref="F598:H598"/>
    <mergeCell ref="B599:D599"/>
    <mergeCell ref="F599:H599"/>
    <mergeCell ref="B594:D594"/>
    <mergeCell ref="F594:H594"/>
    <mergeCell ref="B595:D595"/>
    <mergeCell ref="F595:H595"/>
    <mergeCell ref="B602:D602"/>
    <mergeCell ref="F602:H602"/>
    <mergeCell ref="A604:J604"/>
    <mergeCell ref="B605:D605"/>
    <mergeCell ref="F605:H605"/>
    <mergeCell ref="B600:D600"/>
    <mergeCell ref="F600:H600"/>
    <mergeCell ref="B601:D601"/>
    <mergeCell ref="F601:H601"/>
    <mergeCell ref="B610:D610"/>
    <mergeCell ref="F610:H610"/>
    <mergeCell ref="A612:J612"/>
    <mergeCell ref="B613:D613"/>
    <mergeCell ref="F613:H613"/>
    <mergeCell ref="B606:D606"/>
    <mergeCell ref="F606:H606"/>
    <mergeCell ref="A608:J608"/>
    <mergeCell ref="B609:D609"/>
    <mergeCell ref="F609:H609"/>
    <mergeCell ref="B618:D618"/>
    <mergeCell ref="F618:H618"/>
    <mergeCell ref="A620:J620"/>
    <mergeCell ref="B621:D621"/>
    <mergeCell ref="F621:H621"/>
    <mergeCell ref="B614:D614"/>
    <mergeCell ref="F614:H614"/>
    <mergeCell ref="A616:J616"/>
    <mergeCell ref="B617:D617"/>
    <mergeCell ref="F617:H617"/>
    <mergeCell ref="B624:D624"/>
    <mergeCell ref="F624:H624"/>
    <mergeCell ref="B625:D625"/>
    <mergeCell ref="F625:H625"/>
    <mergeCell ref="B622:D622"/>
    <mergeCell ref="F622:H622"/>
    <mergeCell ref="B623:D623"/>
    <mergeCell ref="F623:H623"/>
    <mergeCell ref="B630:D630"/>
    <mergeCell ref="F630:H630"/>
    <mergeCell ref="A632:J632"/>
    <mergeCell ref="B633:D633"/>
    <mergeCell ref="F633:H633"/>
    <mergeCell ref="A627:J627"/>
    <mergeCell ref="B628:D628"/>
    <mergeCell ref="F628:H628"/>
    <mergeCell ref="B629:D629"/>
    <mergeCell ref="F629:H629"/>
    <mergeCell ref="A637:J637"/>
    <mergeCell ref="B638:D638"/>
    <mergeCell ref="F638:H638"/>
    <mergeCell ref="B639:D639"/>
    <mergeCell ref="F639:H639"/>
    <mergeCell ref="B634:D634"/>
    <mergeCell ref="F634:H634"/>
    <mergeCell ref="B635:D635"/>
    <mergeCell ref="F635:H635"/>
    <mergeCell ref="B644:D644"/>
    <mergeCell ref="F644:H644"/>
    <mergeCell ref="B645:D645"/>
    <mergeCell ref="F645:H645"/>
    <mergeCell ref="B640:D640"/>
    <mergeCell ref="F640:H640"/>
    <mergeCell ref="A642:J642"/>
    <mergeCell ref="B643:D643"/>
    <mergeCell ref="F643:H643"/>
    <mergeCell ref="B650:D650"/>
    <mergeCell ref="F650:H650"/>
    <mergeCell ref="A652:J652"/>
    <mergeCell ref="B653:D653"/>
    <mergeCell ref="F653:H653"/>
    <mergeCell ref="A647:J647"/>
    <mergeCell ref="B648:D648"/>
    <mergeCell ref="F648:H648"/>
    <mergeCell ref="B649:D649"/>
    <mergeCell ref="F649:H649"/>
    <mergeCell ref="A657:J657"/>
    <mergeCell ref="B658:D658"/>
    <mergeCell ref="F658:H658"/>
    <mergeCell ref="B659:D659"/>
    <mergeCell ref="F659:H659"/>
    <mergeCell ref="B654:D654"/>
    <mergeCell ref="F654:H654"/>
    <mergeCell ref="B655:D655"/>
    <mergeCell ref="F655:H655"/>
    <mergeCell ref="B662:D662"/>
    <mergeCell ref="F662:H662"/>
    <mergeCell ref="A664:J664"/>
    <mergeCell ref="B665:D665"/>
    <mergeCell ref="F665:H665"/>
    <mergeCell ref="B660:D660"/>
    <mergeCell ref="F660:H660"/>
    <mergeCell ref="B661:D661"/>
    <mergeCell ref="F661:H661"/>
    <mergeCell ref="B670:D670"/>
    <mergeCell ref="F670:H670"/>
    <mergeCell ref="B671:D671"/>
    <mergeCell ref="F671:H671"/>
    <mergeCell ref="B666:D666"/>
    <mergeCell ref="F666:H666"/>
    <mergeCell ref="A668:J668"/>
    <mergeCell ref="B669:D669"/>
    <mergeCell ref="F669:H669"/>
    <mergeCell ref="B676:D676"/>
    <mergeCell ref="F676:H676"/>
    <mergeCell ref="A678:J678"/>
    <mergeCell ref="B679:D679"/>
    <mergeCell ref="F679:H679"/>
    <mergeCell ref="B672:D672"/>
    <mergeCell ref="F672:H672"/>
    <mergeCell ref="A674:J674"/>
    <mergeCell ref="B675:D675"/>
    <mergeCell ref="F675:H675"/>
    <mergeCell ref="A683:J683"/>
    <mergeCell ref="B684:D684"/>
    <mergeCell ref="F684:H684"/>
    <mergeCell ref="B685:D685"/>
    <mergeCell ref="F685:H685"/>
    <mergeCell ref="B680:D680"/>
    <mergeCell ref="F680:H680"/>
    <mergeCell ref="B681:D681"/>
    <mergeCell ref="F681:H681"/>
    <mergeCell ref="B690:D690"/>
    <mergeCell ref="F690:H690"/>
    <mergeCell ref="A692:J692"/>
    <mergeCell ref="B693:D693"/>
    <mergeCell ref="F693:H693"/>
    <mergeCell ref="A687:J687"/>
    <mergeCell ref="B688:D688"/>
    <mergeCell ref="F688:H688"/>
    <mergeCell ref="B689:D689"/>
    <mergeCell ref="F689:H689"/>
    <mergeCell ref="A697:J697"/>
    <mergeCell ref="B698:D698"/>
    <mergeCell ref="F698:H698"/>
    <mergeCell ref="B699:D699"/>
    <mergeCell ref="F699:H699"/>
    <mergeCell ref="B694:D694"/>
    <mergeCell ref="F694:H694"/>
    <mergeCell ref="B695:D695"/>
    <mergeCell ref="F695:H695"/>
    <mergeCell ref="A703:J703"/>
    <mergeCell ref="B704:D704"/>
    <mergeCell ref="F704:H704"/>
    <mergeCell ref="B705:D705"/>
    <mergeCell ref="F705:H705"/>
    <mergeCell ref="B700:D700"/>
    <mergeCell ref="F700:H700"/>
    <mergeCell ref="B701:D701"/>
    <mergeCell ref="F701:H701"/>
    <mergeCell ref="B710:D710"/>
    <mergeCell ref="F710:H710"/>
    <mergeCell ref="B711:D711"/>
    <mergeCell ref="F711:H711"/>
    <mergeCell ref="B706:D706"/>
    <mergeCell ref="F706:H706"/>
    <mergeCell ref="A708:J708"/>
    <mergeCell ref="B709:D709"/>
    <mergeCell ref="F709:H709"/>
    <mergeCell ref="B716:D716"/>
    <mergeCell ref="F716:H716"/>
    <mergeCell ref="B717:D717"/>
    <mergeCell ref="F717:H717"/>
    <mergeCell ref="A713:J713"/>
    <mergeCell ref="B714:D714"/>
    <mergeCell ref="F714:H714"/>
    <mergeCell ref="B715:D715"/>
    <mergeCell ref="F715:H715"/>
    <mergeCell ref="A723:J723"/>
    <mergeCell ref="B724:D724"/>
    <mergeCell ref="F724:H724"/>
    <mergeCell ref="B725:D725"/>
    <mergeCell ref="F725:H725"/>
    <mergeCell ref="A719:J719"/>
    <mergeCell ref="B720:D720"/>
    <mergeCell ref="F720:H720"/>
    <mergeCell ref="B721:D721"/>
    <mergeCell ref="F721:H721"/>
    <mergeCell ref="B728:D728"/>
    <mergeCell ref="F728:H728"/>
    <mergeCell ref="A730:J730"/>
    <mergeCell ref="B731:D731"/>
    <mergeCell ref="F731:H731"/>
    <mergeCell ref="B726:D726"/>
    <mergeCell ref="F726:H726"/>
    <mergeCell ref="B727:D727"/>
    <mergeCell ref="F727:H727"/>
    <mergeCell ref="B736:D736"/>
    <mergeCell ref="F736:H736"/>
    <mergeCell ref="A738:J738"/>
    <mergeCell ref="B739:D739"/>
    <mergeCell ref="F739:H739"/>
    <mergeCell ref="B732:D732"/>
    <mergeCell ref="F732:H732"/>
    <mergeCell ref="A734:J734"/>
    <mergeCell ref="B735:D735"/>
    <mergeCell ref="F735:H735"/>
    <mergeCell ref="B742:D742"/>
    <mergeCell ref="F742:H742"/>
    <mergeCell ref="B743:D743"/>
    <mergeCell ref="F743:H743"/>
    <mergeCell ref="B740:D740"/>
    <mergeCell ref="F740:H740"/>
    <mergeCell ref="B741:D741"/>
    <mergeCell ref="F741:H741"/>
    <mergeCell ref="B746:D746"/>
    <mergeCell ref="F746:H746"/>
    <mergeCell ref="B747:D747"/>
    <mergeCell ref="F747:H747"/>
    <mergeCell ref="B744:D744"/>
    <mergeCell ref="F744:H744"/>
    <mergeCell ref="B745:D745"/>
    <mergeCell ref="F745:H745"/>
    <mergeCell ref="B750:D750"/>
    <mergeCell ref="F750:H750"/>
    <mergeCell ref="H751:J751"/>
    <mergeCell ref="B748:D748"/>
    <mergeCell ref="F748:H748"/>
    <mergeCell ref="B749:D749"/>
    <mergeCell ref="F749:H749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geOrder="overThenDown" paperSize="9" scale="92" r:id="rId1"/>
  <rowBreaks count="4" manualBreakCount="4">
    <brk id="51" max="255" man="1"/>
    <brk id="103" max="255" man="1"/>
    <brk id="383" max="255" man="1"/>
    <brk id="7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85"/>
  <sheetViews>
    <sheetView zoomScalePageLayoutView="0" workbookViewId="0" topLeftCell="A1">
      <selection activeCell="N3" sqref="N3"/>
    </sheetView>
  </sheetViews>
  <sheetFormatPr defaultColWidth="9.140625" defaultRowHeight="15" outlineLevelCol="1"/>
  <cols>
    <col min="1" max="1" width="4.28125" style="0" customWidth="1"/>
    <col min="2" max="2" width="12.28125" style="0" customWidth="1"/>
    <col min="3" max="3" width="41.140625" style="0" customWidth="1"/>
    <col min="4" max="4" width="6.421875" style="0" customWidth="1"/>
    <col min="5" max="5" width="13.140625" style="0" customWidth="1"/>
    <col min="6" max="6" width="11.57421875" style="0" customWidth="1"/>
    <col min="7" max="7" width="11.28125" style="0" customWidth="1"/>
    <col min="8" max="11" width="11.140625" style="0" bestFit="1" customWidth="1"/>
    <col min="12" max="12" width="11.28125" style="0" customWidth="1"/>
    <col min="13" max="14" width="10.00390625" style="0" bestFit="1" customWidth="1"/>
    <col min="15" max="15" width="10.8515625" style="0" customWidth="1"/>
    <col min="16" max="27" width="10.00390625" style="0" bestFit="1" customWidth="1"/>
    <col min="28" max="35" width="10.00390625" style="0" hidden="1" customWidth="1" outlineLevel="1"/>
    <col min="36" max="37" width="9.8515625" style="0" hidden="1" customWidth="1" outlineLevel="1"/>
    <col min="38" max="38" width="9.28125" style="0" hidden="1" customWidth="1" outlineLevel="1"/>
    <col min="39" max="39" width="10.8515625" style="0" bestFit="1" customWidth="1" collapsed="1"/>
    <col min="40" max="40" width="15.57421875" style="0" bestFit="1" customWidth="1"/>
  </cols>
  <sheetData>
    <row r="1" spans="1:41" ht="15.75">
      <c r="A1" s="283"/>
      <c r="B1" s="275"/>
      <c r="C1" s="459"/>
      <c r="D1" s="458"/>
      <c r="E1" s="458"/>
      <c r="F1" s="118"/>
      <c r="G1" s="118"/>
      <c r="H1" s="457"/>
      <c r="I1" s="457"/>
      <c r="J1" s="528" t="s">
        <v>525</v>
      </c>
      <c r="K1" s="528"/>
      <c r="L1" s="528"/>
      <c r="M1" s="528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</row>
    <row r="2" spans="1:41" ht="15" customHeight="1">
      <c r="A2" s="283"/>
      <c r="B2" s="282"/>
      <c r="C2" s="459"/>
      <c r="D2" s="458"/>
      <c r="E2" s="458"/>
      <c r="F2" s="118"/>
      <c r="G2" s="118"/>
      <c r="H2" s="457"/>
      <c r="I2" s="529" t="s">
        <v>1087</v>
      </c>
      <c r="J2" s="529"/>
      <c r="K2" s="529"/>
      <c r="L2" s="529"/>
      <c r="M2" s="529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</row>
    <row r="3" spans="1:41" ht="15" customHeight="1">
      <c r="A3" s="260"/>
      <c r="B3" s="259"/>
      <c r="C3" s="456"/>
      <c r="D3" s="455"/>
      <c r="E3" s="455"/>
      <c r="F3" s="454"/>
      <c r="G3" s="454"/>
      <c r="H3" s="453"/>
      <c r="I3" s="530" t="s">
        <v>1089</v>
      </c>
      <c r="J3" s="530"/>
      <c r="K3" s="530"/>
      <c r="L3" s="530"/>
      <c r="M3" s="530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</row>
    <row r="4" spans="1:41" ht="19.5">
      <c r="A4" s="452" t="s">
        <v>1009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1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99"/>
    </row>
    <row r="5" spans="1:41" ht="15">
      <c r="A5" s="531" t="s">
        <v>526</v>
      </c>
      <c r="B5" s="531" t="s">
        <v>527</v>
      </c>
      <c r="C5" s="532" t="s">
        <v>528</v>
      </c>
      <c r="D5" s="533" t="s">
        <v>1008</v>
      </c>
      <c r="E5" s="535" t="s">
        <v>1007</v>
      </c>
      <c r="F5" s="535" t="s">
        <v>1006</v>
      </c>
      <c r="G5" s="450" t="s">
        <v>529</v>
      </c>
      <c r="H5" s="533">
        <v>2024</v>
      </c>
      <c r="I5" s="533">
        <f aca="true" t="shared" si="0" ref="I5:AL5">SUM(H5+1)</f>
        <v>2025</v>
      </c>
      <c r="J5" s="533">
        <f t="shared" si="0"/>
        <v>2026</v>
      </c>
      <c r="K5" s="533">
        <f t="shared" si="0"/>
        <v>2027</v>
      </c>
      <c r="L5" s="533">
        <f t="shared" si="0"/>
        <v>2028</v>
      </c>
      <c r="M5" s="533">
        <f t="shared" si="0"/>
        <v>2029</v>
      </c>
      <c r="N5" s="533">
        <f t="shared" si="0"/>
        <v>2030</v>
      </c>
      <c r="O5" s="533">
        <f t="shared" si="0"/>
        <v>2031</v>
      </c>
      <c r="P5" s="533">
        <f t="shared" si="0"/>
        <v>2032</v>
      </c>
      <c r="Q5" s="533">
        <f t="shared" si="0"/>
        <v>2033</v>
      </c>
      <c r="R5" s="533">
        <f t="shared" si="0"/>
        <v>2034</v>
      </c>
      <c r="S5" s="533">
        <f t="shared" si="0"/>
        <v>2035</v>
      </c>
      <c r="T5" s="533">
        <f t="shared" si="0"/>
        <v>2036</v>
      </c>
      <c r="U5" s="533">
        <f t="shared" si="0"/>
        <v>2037</v>
      </c>
      <c r="V5" s="533">
        <f t="shared" si="0"/>
        <v>2038</v>
      </c>
      <c r="W5" s="533">
        <f t="shared" si="0"/>
        <v>2039</v>
      </c>
      <c r="X5" s="533">
        <f t="shared" si="0"/>
        <v>2040</v>
      </c>
      <c r="Y5" s="533">
        <f t="shared" si="0"/>
        <v>2041</v>
      </c>
      <c r="Z5" s="533">
        <f t="shared" si="0"/>
        <v>2042</v>
      </c>
      <c r="AA5" s="533">
        <f t="shared" si="0"/>
        <v>2043</v>
      </c>
      <c r="AB5" s="533">
        <f t="shared" si="0"/>
        <v>2044</v>
      </c>
      <c r="AC5" s="533">
        <f t="shared" si="0"/>
        <v>2045</v>
      </c>
      <c r="AD5" s="533">
        <f t="shared" si="0"/>
        <v>2046</v>
      </c>
      <c r="AE5" s="533">
        <f t="shared" si="0"/>
        <v>2047</v>
      </c>
      <c r="AF5" s="533">
        <f t="shared" si="0"/>
        <v>2048</v>
      </c>
      <c r="AG5" s="533">
        <f t="shared" si="0"/>
        <v>2049</v>
      </c>
      <c r="AH5" s="533">
        <f t="shared" si="0"/>
        <v>2050</v>
      </c>
      <c r="AI5" s="533">
        <f t="shared" si="0"/>
        <v>2051</v>
      </c>
      <c r="AJ5" s="533">
        <f t="shared" si="0"/>
        <v>2052</v>
      </c>
      <c r="AK5" s="533">
        <f t="shared" si="0"/>
        <v>2053</v>
      </c>
      <c r="AL5" s="533">
        <f t="shared" si="0"/>
        <v>2054</v>
      </c>
      <c r="AM5" s="533" t="s">
        <v>1005</v>
      </c>
      <c r="AN5" s="535" t="s">
        <v>1004</v>
      </c>
      <c r="AO5" s="127"/>
    </row>
    <row r="6" spans="1:41" ht="15">
      <c r="A6" s="531"/>
      <c r="B6" s="531"/>
      <c r="C6" s="532"/>
      <c r="D6" s="534"/>
      <c r="E6" s="536"/>
      <c r="F6" s="536"/>
      <c r="G6" s="450" t="s">
        <v>1003</v>
      </c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6"/>
      <c r="AO6" s="127"/>
    </row>
    <row r="7" spans="1:41" ht="15">
      <c r="A7" s="537">
        <v>1</v>
      </c>
      <c r="B7" s="323" t="s">
        <v>530</v>
      </c>
      <c r="C7" s="539" t="s">
        <v>531</v>
      </c>
      <c r="D7" s="541">
        <v>648</v>
      </c>
      <c r="E7" s="543">
        <v>45201391.5</v>
      </c>
      <c r="F7" s="545" t="s">
        <v>532</v>
      </c>
      <c r="G7" s="387" t="s">
        <v>533</v>
      </c>
      <c r="H7" s="408">
        <v>3597607.21</v>
      </c>
      <c r="I7" s="408">
        <v>3795232</v>
      </c>
      <c r="J7" s="408">
        <v>3470364</v>
      </c>
      <c r="K7" s="408">
        <v>1689908</v>
      </c>
      <c r="L7" s="408">
        <v>1170892</v>
      </c>
      <c r="M7" s="408">
        <v>972900</v>
      </c>
      <c r="N7" s="408">
        <v>783972</v>
      </c>
      <c r="O7" s="408">
        <v>783972</v>
      </c>
      <c r="P7" s="408">
        <v>783972</v>
      </c>
      <c r="Q7" s="408">
        <v>761920</v>
      </c>
      <c r="R7" s="408">
        <v>305500.79</v>
      </c>
      <c r="S7" s="408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>
        <f aca="true" t="shared" si="1" ref="AM7:AM38">SUM(AB7:AL7)</f>
        <v>0</v>
      </c>
      <c r="AN7" s="374">
        <f aca="true" t="shared" si="2" ref="AN7:AN38">SUM(H7:AA7)+AM7</f>
        <v>18116240</v>
      </c>
      <c r="AO7" s="162"/>
    </row>
    <row r="8" spans="1:41" ht="15">
      <c r="A8" s="538"/>
      <c r="B8" s="391" t="s">
        <v>534</v>
      </c>
      <c r="C8" s="540"/>
      <c r="D8" s="542"/>
      <c r="E8" s="544"/>
      <c r="F8" s="546"/>
      <c r="G8" s="390">
        <v>0.04296</v>
      </c>
      <c r="H8" s="406">
        <v>785555</v>
      </c>
      <c r="I8" s="406">
        <v>635230</v>
      </c>
      <c r="J8" s="406">
        <v>465680</v>
      </c>
      <c r="K8" s="406">
        <v>306845</v>
      </c>
      <c r="L8" s="406">
        <v>220085</v>
      </c>
      <c r="M8" s="406">
        <v>172495</v>
      </c>
      <c r="N8" s="406">
        <v>134200</v>
      </c>
      <c r="O8" s="406">
        <v>101980</v>
      </c>
      <c r="P8" s="406">
        <v>70395</v>
      </c>
      <c r="Q8" s="406">
        <v>38580</v>
      </c>
      <c r="R8" s="406">
        <v>11510</v>
      </c>
      <c r="S8" s="406">
        <v>690</v>
      </c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>
        <f t="shared" si="1"/>
        <v>0</v>
      </c>
      <c r="AN8" s="308">
        <f t="shared" si="2"/>
        <v>2943245</v>
      </c>
      <c r="AO8" s="162"/>
    </row>
    <row r="9" spans="1:41" ht="15">
      <c r="A9" s="547">
        <v>2</v>
      </c>
      <c r="B9" s="429" t="s">
        <v>530</v>
      </c>
      <c r="C9" s="548" t="s">
        <v>535</v>
      </c>
      <c r="D9" s="550">
        <v>628</v>
      </c>
      <c r="E9" s="552">
        <v>119421</v>
      </c>
      <c r="F9" s="553" t="s">
        <v>536</v>
      </c>
      <c r="G9" s="449" t="s">
        <v>533</v>
      </c>
      <c r="H9" s="448">
        <v>5912.43</v>
      </c>
      <c r="I9" s="448">
        <v>6808</v>
      </c>
      <c r="J9" s="448">
        <v>6808</v>
      </c>
      <c r="K9" s="448">
        <v>6808</v>
      </c>
      <c r="L9" s="448">
        <v>6808</v>
      </c>
      <c r="M9" s="448">
        <v>6808</v>
      </c>
      <c r="N9" s="448">
        <v>6808</v>
      </c>
      <c r="O9" s="448">
        <v>6808</v>
      </c>
      <c r="P9" s="448">
        <v>6808</v>
      </c>
      <c r="Q9" s="448">
        <v>6808</v>
      </c>
      <c r="R9" s="448">
        <v>6808</v>
      </c>
      <c r="S9" s="448">
        <v>1697.57</v>
      </c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384">
        <f t="shared" si="1"/>
        <v>0</v>
      </c>
      <c r="AN9" s="374">
        <f t="shared" si="2"/>
        <v>75690</v>
      </c>
      <c r="AO9" s="394"/>
    </row>
    <row r="10" spans="1:41" ht="15">
      <c r="A10" s="538"/>
      <c r="B10" s="319" t="s">
        <v>537</v>
      </c>
      <c r="C10" s="549"/>
      <c r="D10" s="551"/>
      <c r="E10" s="544"/>
      <c r="F10" s="554"/>
      <c r="G10" s="390">
        <v>0.03906</v>
      </c>
      <c r="H10" s="435">
        <v>2885</v>
      </c>
      <c r="I10" s="435">
        <v>2770</v>
      </c>
      <c r="J10" s="435">
        <v>2515</v>
      </c>
      <c r="K10" s="435">
        <v>2155</v>
      </c>
      <c r="L10" s="435">
        <v>1870</v>
      </c>
      <c r="M10" s="435">
        <v>1600</v>
      </c>
      <c r="N10" s="435">
        <v>1340</v>
      </c>
      <c r="O10" s="435">
        <v>1075</v>
      </c>
      <c r="P10" s="435">
        <v>815</v>
      </c>
      <c r="Q10" s="435">
        <v>550</v>
      </c>
      <c r="R10" s="435">
        <v>290</v>
      </c>
      <c r="S10" s="435">
        <v>50</v>
      </c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379">
        <f t="shared" si="1"/>
        <v>0</v>
      </c>
      <c r="AN10" s="308">
        <f t="shared" si="2"/>
        <v>17915</v>
      </c>
      <c r="AO10" s="394"/>
    </row>
    <row r="11" spans="1:41" ht="15">
      <c r="A11" s="537">
        <v>3</v>
      </c>
      <c r="B11" s="323" t="s">
        <v>530</v>
      </c>
      <c r="C11" s="555" t="s">
        <v>538</v>
      </c>
      <c r="D11" s="556">
        <v>629</v>
      </c>
      <c r="E11" s="543">
        <v>463710</v>
      </c>
      <c r="F11" s="545" t="s">
        <v>539</v>
      </c>
      <c r="G11" s="439" t="s">
        <v>533</v>
      </c>
      <c r="H11" s="438">
        <v>22331.53</v>
      </c>
      <c r="I11" s="438">
        <v>25716</v>
      </c>
      <c r="J11" s="438">
        <v>25716</v>
      </c>
      <c r="K11" s="438">
        <v>25716</v>
      </c>
      <c r="L11" s="438">
        <v>25716</v>
      </c>
      <c r="M11" s="438">
        <v>25716</v>
      </c>
      <c r="N11" s="438">
        <v>25716</v>
      </c>
      <c r="O11" s="438">
        <v>25716</v>
      </c>
      <c r="P11" s="438">
        <v>25716</v>
      </c>
      <c r="Q11" s="438">
        <v>25716</v>
      </c>
      <c r="R11" s="438">
        <v>25716</v>
      </c>
      <c r="S11" s="438">
        <v>6393.47</v>
      </c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384">
        <f t="shared" si="1"/>
        <v>0</v>
      </c>
      <c r="AN11" s="374">
        <f t="shared" si="2"/>
        <v>285885</v>
      </c>
      <c r="AO11" s="394"/>
    </row>
    <row r="12" spans="1:41" ht="15">
      <c r="A12" s="538"/>
      <c r="B12" s="319" t="s">
        <v>540</v>
      </c>
      <c r="C12" s="549"/>
      <c r="D12" s="551"/>
      <c r="E12" s="544"/>
      <c r="F12" s="546"/>
      <c r="G12" s="390">
        <v>0.03906</v>
      </c>
      <c r="H12" s="435">
        <v>10900</v>
      </c>
      <c r="I12" s="435">
        <v>10460</v>
      </c>
      <c r="J12" s="435">
        <v>9485</v>
      </c>
      <c r="K12" s="435">
        <v>8135</v>
      </c>
      <c r="L12" s="435">
        <v>7050</v>
      </c>
      <c r="M12" s="435">
        <v>6040</v>
      </c>
      <c r="N12" s="435">
        <v>5050</v>
      </c>
      <c r="O12" s="435">
        <v>4060</v>
      </c>
      <c r="P12" s="435">
        <v>3075</v>
      </c>
      <c r="Q12" s="435">
        <v>2080</v>
      </c>
      <c r="R12" s="435">
        <v>1085</v>
      </c>
      <c r="S12" s="435">
        <v>165</v>
      </c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379">
        <f t="shared" si="1"/>
        <v>0</v>
      </c>
      <c r="AN12" s="308">
        <f t="shared" si="2"/>
        <v>67585</v>
      </c>
      <c r="AO12" s="394"/>
    </row>
    <row r="13" spans="1:41" ht="15">
      <c r="A13" s="537">
        <v>4</v>
      </c>
      <c r="B13" s="323" t="s">
        <v>530</v>
      </c>
      <c r="C13" s="555" t="s">
        <v>541</v>
      </c>
      <c r="D13" s="556">
        <v>630</v>
      </c>
      <c r="E13" s="543">
        <v>162998</v>
      </c>
      <c r="F13" s="557" t="s">
        <v>542</v>
      </c>
      <c r="G13" s="439" t="s">
        <v>533</v>
      </c>
      <c r="H13" s="445">
        <v>5399.98</v>
      </c>
      <c r="I13" s="445">
        <v>7128</v>
      </c>
      <c r="J13" s="445">
        <v>7128</v>
      </c>
      <c r="K13" s="445">
        <v>7128</v>
      </c>
      <c r="L13" s="445">
        <v>7128</v>
      </c>
      <c r="M13" s="445">
        <v>7128</v>
      </c>
      <c r="N13" s="445">
        <v>7128</v>
      </c>
      <c r="O13" s="445">
        <v>7128</v>
      </c>
      <c r="P13" s="445">
        <v>7128</v>
      </c>
      <c r="Q13" s="445">
        <v>7128</v>
      </c>
      <c r="R13" s="445">
        <v>7128</v>
      </c>
      <c r="S13" s="445">
        <v>3544.02</v>
      </c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384">
        <f t="shared" si="1"/>
        <v>0</v>
      </c>
      <c r="AN13" s="374">
        <f t="shared" si="2"/>
        <v>80224</v>
      </c>
      <c r="AO13" s="394"/>
    </row>
    <row r="14" spans="1:41" ht="15">
      <c r="A14" s="538"/>
      <c r="B14" s="319" t="s">
        <v>543</v>
      </c>
      <c r="C14" s="549"/>
      <c r="D14" s="551"/>
      <c r="E14" s="544"/>
      <c r="F14" s="558"/>
      <c r="G14" s="390">
        <v>0.04057</v>
      </c>
      <c r="H14" s="443">
        <v>3455</v>
      </c>
      <c r="I14" s="443">
        <v>3180</v>
      </c>
      <c r="J14" s="443">
        <v>2705</v>
      </c>
      <c r="K14" s="443">
        <v>2355</v>
      </c>
      <c r="L14" s="443">
        <v>2025</v>
      </c>
      <c r="M14" s="443">
        <v>1745</v>
      </c>
      <c r="N14" s="443">
        <v>1470</v>
      </c>
      <c r="O14" s="443">
        <v>1195</v>
      </c>
      <c r="P14" s="443">
        <v>925</v>
      </c>
      <c r="Q14" s="443">
        <v>645</v>
      </c>
      <c r="R14" s="443">
        <v>370</v>
      </c>
      <c r="S14" s="443">
        <v>100</v>
      </c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379">
        <f t="shared" si="1"/>
        <v>0</v>
      </c>
      <c r="AN14" s="308">
        <f t="shared" si="2"/>
        <v>20170</v>
      </c>
      <c r="AO14" s="394"/>
    </row>
    <row r="15" spans="1:41" ht="15">
      <c r="A15" s="537">
        <v>5</v>
      </c>
      <c r="B15" s="323" t="s">
        <v>544</v>
      </c>
      <c r="C15" s="555" t="s">
        <v>545</v>
      </c>
      <c r="D15" s="556">
        <v>631</v>
      </c>
      <c r="E15" s="543">
        <f>89504-0.24</f>
        <v>89503.76</v>
      </c>
      <c r="F15" s="545" t="s">
        <v>546</v>
      </c>
      <c r="G15" s="439" t="s">
        <v>533</v>
      </c>
      <c r="H15" s="445">
        <v>4133.14</v>
      </c>
      <c r="I15" s="445">
        <v>5212</v>
      </c>
      <c r="J15" s="445">
        <v>5212</v>
      </c>
      <c r="K15" s="445">
        <v>5212</v>
      </c>
      <c r="L15" s="445">
        <v>5212</v>
      </c>
      <c r="M15" s="445">
        <v>5212</v>
      </c>
      <c r="N15" s="445">
        <v>5212</v>
      </c>
      <c r="O15" s="445">
        <v>5212</v>
      </c>
      <c r="P15" s="445">
        <v>5212</v>
      </c>
      <c r="Q15" s="445">
        <v>5212</v>
      </c>
      <c r="R15" s="445">
        <v>5212</v>
      </c>
      <c r="S15" s="445">
        <v>2580.62</v>
      </c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384">
        <f t="shared" si="1"/>
        <v>0</v>
      </c>
      <c r="AN15" s="374">
        <f t="shared" si="2"/>
        <v>58833.76</v>
      </c>
      <c r="AO15" s="394"/>
    </row>
    <row r="16" spans="1:41" ht="15">
      <c r="A16" s="538"/>
      <c r="B16" s="319" t="s">
        <v>547</v>
      </c>
      <c r="C16" s="549"/>
      <c r="D16" s="551"/>
      <c r="E16" s="544"/>
      <c r="F16" s="546"/>
      <c r="G16" s="390">
        <v>0.04194</v>
      </c>
      <c r="H16" s="443">
        <v>2575</v>
      </c>
      <c r="I16" s="443">
        <v>2325</v>
      </c>
      <c r="J16" s="443">
        <v>1975</v>
      </c>
      <c r="K16" s="443">
        <v>1725</v>
      </c>
      <c r="L16" s="443">
        <v>1480</v>
      </c>
      <c r="M16" s="443">
        <v>1275</v>
      </c>
      <c r="N16" s="443">
        <v>1075</v>
      </c>
      <c r="O16" s="443">
        <v>875</v>
      </c>
      <c r="P16" s="443">
        <v>675</v>
      </c>
      <c r="Q16" s="443">
        <v>475</v>
      </c>
      <c r="R16" s="443">
        <v>270</v>
      </c>
      <c r="S16" s="443">
        <v>75</v>
      </c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379">
        <f t="shared" si="1"/>
        <v>0</v>
      </c>
      <c r="AN16" s="308">
        <f t="shared" si="2"/>
        <v>14800</v>
      </c>
      <c r="AO16" s="394"/>
    </row>
    <row r="17" spans="1:41" ht="15">
      <c r="A17" s="537">
        <v>6</v>
      </c>
      <c r="B17" s="323" t="s">
        <v>530</v>
      </c>
      <c r="C17" s="555" t="s">
        <v>548</v>
      </c>
      <c r="D17" s="556">
        <v>632</v>
      </c>
      <c r="E17" s="543">
        <v>1331708.19</v>
      </c>
      <c r="F17" s="559" t="s">
        <v>549</v>
      </c>
      <c r="G17" s="439" t="s">
        <v>533</v>
      </c>
      <c r="H17" s="438">
        <v>8103.74</v>
      </c>
      <c r="I17" s="438">
        <v>21108</v>
      </c>
      <c r="J17" s="438">
        <v>51108</v>
      </c>
      <c r="K17" s="438">
        <v>80108</v>
      </c>
      <c r="L17" s="438">
        <v>80108</v>
      </c>
      <c r="M17" s="438">
        <v>80108</v>
      </c>
      <c r="N17" s="438">
        <v>80108</v>
      </c>
      <c r="O17" s="438">
        <v>80108</v>
      </c>
      <c r="P17" s="438">
        <v>80108</v>
      </c>
      <c r="Q17" s="438">
        <v>80108</v>
      </c>
      <c r="R17" s="438">
        <v>80108</v>
      </c>
      <c r="S17" s="438">
        <v>60066.26</v>
      </c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384">
        <f t="shared" si="1"/>
        <v>0</v>
      </c>
      <c r="AN17" s="374">
        <f t="shared" si="2"/>
        <v>781250</v>
      </c>
      <c r="AO17" s="394"/>
    </row>
    <row r="18" spans="1:41" ht="15">
      <c r="A18" s="538"/>
      <c r="B18" s="319" t="s">
        <v>550</v>
      </c>
      <c r="C18" s="549"/>
      <c r="D18" s="551"/>
      <c r="E18" s="544"/>
      <c r="F18" s="560"/>
      <c r="G18" s="390">
        <v>0.0445</v>
      </c>
      <c r="H18" s="435">
        <v>35420</v>
      </c>
      <c r="I18" s="435">
        <v>34120</v>
      </c>
      <c r="J18" s="435">
        <v>29745</v>
      </c>
      <c r="K18" s="435">
        <v>26470</v>
      </c>
      <c r="L18" s="435">
        <v>23510</v>
      </c>
      <c r="M18" s="435">
        <v>20360</v>
      </c>
      <c r="N18" s="435">
        <v>17275</v>
      </c>
      <c r="O18" s="435">
        <v>14185</v>
      </c>
      <c r="P18" s="435">
        <v>11130</v>
      </c>
      <c r="Q18" s="435">
        <v>8015</v>
      </c>
      <c r="R18" s="435">
        <v>4925</v>
      </c>
      <c r="S18" s="435">
        <v>1840</v>
      </c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379">
        <f t="shared" si="1"/>
        <v>0</v>
      </c>
      <c r="AN18" s="308">
        <f t="shared" si="2"/>
        <v>226995</v>
      </c>
      <c r="AO18" s="394"/>
    </row>
    <row r="19" spans="1:41" ht="15">
      <c r="A19" s="537">
        <v>7</v>
      </c>
      <c r="B19" s="323" t="s">
        <v>530</v>
      </c>
      <c r="C19" s="561" t="s">
        <v>336</v>
      </c>
      <c r="D19" s="556">
        <v>633</v>
      </c>
      <c r="E19" s="562">
        <f>8339124-3412924+1558975</f>
        <v>6485175</v>
      </c>
      <c r="F19" s="559" t="s">
        <v>551</v>
      </c>
      <c r="G19" s="439" t="s">
        <v>533</v>
      </c>
      <c r="H19" s="427">
        <v>0</v>
      </c>
      <c r="I19" s="427">
        <v>20360</v>
      </c>
      <c r="J19" s="427">
        <v>60360</v>
      </c>
      <c r="K19" s="427">
        <v>238360</v>
      </c>
      <c r="L19" s="427">
        <v>238360</v>
      </c>
      <c r="M19" s="427">
        <v>304904</v>
      </c>
      <c r="N19" s="427">
        <v>304904</v>
      </c>
      <c r="O19" s="427">
        <v>304904</v>
      </c>
      <c r="P19" s="427">
        <v>304904</v>
      </c>
      <c r="Q19" s="427">
        <v>304904</v>
      </c>
      <c r="R19" s="427">
        <v>304904</v>
      </c>
      <c r="S19" s="427">
        <v>304904</v>
      </c>
      <c r="T19" s="427">
        <v>304904</v>
      </c>
      <c r="U19" s="427">
        <v>304904</v>
      </c>
      <c r="V19" s="427">
        <v>304904</v>
      </c>
      <c r="W19" s="427">
        <v>304904</v>
      </c>
      <c r="X19" s="427">
        <v>304904</v>
      </c>
      <c r="Y19" s="427">
        <v>304904</v>
      </c>
      <c r="Z19" s="427">
        <v>304904</v>
      </c>
      <c r="AA19" s="427">
        <v>304904</v>
      </c>
      <c r="AB19" s="427">
        <v>304904</v>
      </c>
      <c r="AC19" s="427">
        <v>304904</v>
      </c>
      <c r="AD19" s="427">
        <v>304904</v>
      </c>
      <c r="AE19" s="427">
        <v>65158.29</v>
      </c>
      <c r="AF19" s="426"/>
      <c r="AG19" s="426"/>
      <c r="AH19" s="426"/>
      <c r="AI19" s="426"/>
      <c r="AJ19" s="426"/>
      <c r="AK19" s="426"/>
      <c r="AL19" s="426"/>
      <c r="AM19" s="384">
        <f t="shared" si="1"/>
        <v>979870.29</v>
      </c>
      <c r="AN19" s="374">
        <f t="shared" si="2"/>
        <v>6110870.29</v>
      </c>
      <c r="AO19" s="394"/>
    </row>
    <row r="20" spans="1:41" ht="15">
      <c r="A20" s="538"/>
      <c r="B20" s="319" t="s">
        <v>552</v>
      </c>
      <c r="C20" s="540"/>
      <c r="D20" s="551"/>
      <c r="E20" s="563"/>
      <c r="F20" s="560"/>
      <c r="G20" s="390">
        <v>0.04189</v>
      </c>
      <c r="H20" s="425">
        <v>269925</v>
      </c>
      <c r="I20" s="425">
        <v>263105</v>
      </c>
      <c r="J20" s="425">
        <v>246540</v>
      </c>
      <c r="K20" s="425">
        <v>236635</v>
      </c>
      <c r="L20" s="425">
        <v>222345</v>
      </c>
      <c r="M20" s="425">
        <v>212010</v>
      </c>
      <c r="N20" s="425">
        <v>200405</v>
      </c>
      <c r="O20" s="425">
        <v>188660</v>
      </c>
      <c r="P20" s="425">
        <v>177400</v>
      </c>
      <c r="Q20" s="425">
        <v>165165</v>
      </c>
      <c r="R20" s="425">
        <v>153415</v>
      </c>
      <c r="S20" s="425">
        <v>141670</v>
      </c>
      <c r="T20" s="425">
        <v>130285</v>
      </c>
      <c r="U20" s="425">
        <v>118175</v>
      </c>
      <c r="V20" s="425">
        <v>106430</v>
      </c>
      <c r="W20" s="425">
        <v>94680</v>
      </c>
      <c r="X20" s="424">
        <v>83165</v>
      </c>
      <c r="Y20" s="424">
        <v>71185</v>
      </c>
      <c r="Z20" s="424">
        <v>59440</v>
      </c>
      <c r="AA20" s="424">
        <v>47690</v>
      </c>
      <c r="AB20" s="424">
        <v>36050</v>
      </c>
      <c r="AC20" s="424">
        <v>24195</v>
      </c>
      <c r="AD20" s="424">
        <v>12450</v>
      </c>
      <c r="AE20" s="424">
        <v>1830</v>
      </c>
      <c r="AF20" s="423"/>
      <c r="AG20" s="423"/>
      <c r="AH20" s="423"/>
      <c r="AI20" s="423"/>
      <c r="AJ20" s="423"/>
      <c r="AK20" s="423"/>
      <c r="AL20" s="423"/>
      <c r="AM20" s="379">
        <f t="shared" si="1"/>
        <v>74525</v>
      </c>
      <c r="AN20" s="308">
        <f t="shared" si="2"/>
        <v>3262850</v>
      </c>
      <c r="AO20" s="394"/>
    </row>
    <row r="21" spans="1:41" ht="15">
      <c r="A21" s="537">
        <v>8</v>
      </c>
      <c r="B21" s="323" t="s">
        <v>530</v>
      </c>
      <c r="C21" s="561" t="s">
        <v>553</v>
      </c>
      <c r="D21" s="556">
        <v>634</v>
      </c>
      <c r="E21" s="543">
        <f>206622-0.62</f>
        <v>206621.38</v>
      </c>
      <c r="F21" s="559" t="s">
        <v>554</v>
      </c>
      <c r="G21" s="439" t="s">
        <v>533</v>
      </c>
      <c r="H21" s="427">
        <v>9974.61</v>
      </c>
      <c r="I21" s="427">
        <v>13948</v>
      </c>
      <c r="J21" s="427">
        <v>13948</v>
      </c>
      <c r="K21" s="427">
        <v>13948</v>
      </c>
      <c r="L21" s="427">
        <v>13948</v>
      </c>
      <c r="M21" s="427">
        <v>13948</v>
      </c>
      <c r="N21" s="427">
        <v>13948</v>
      </c>
      <c r="O21" s="427">
        <v>13948</v>
      </c>
      <c r="P21" s="427">
        <v>13948</v>
      </c>
      <c r="Q21" s="427">
        <v>13948</v>
      </c>
      <c r="R21" s="427">
        <v>13948</v>
      </c>
      <c r="S21" s="427">
        <v>13948</v>
      </c>
      <c r="T21" s="427">
        <v>13938.77</v>
      </c>
      <c r="U21" s="427"/>
      <c r="V21" s="427"/>
      <c r="W21" s="427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384">
        <f t="shared" si="1"/>
        <v>0</v>
      </c>
      <c r="AN21" s="374">
        <f t="shared" si="2"/>
        <v>177341.37999999998</v>
      </c>
      <c r="AO21" s="394"/>
    </row>
    <row r="22" spans="1:41" ht="15">
      <c r="A22" s="538"/>
      <c r="B22" s="319" t="s">
        <v>555</v>
      </c>
      <c r="C22" s="540"/>
      <c r="D22" s="551"/>
      <c r="E22" s="544"/>
      <c r="F22" s="560"/>
      <c r="G22" s="390">
        <v>0.04189</v>
      </c>
      <c r="H22" s="425">
        <v>7770</v>
      </c>
      <c r="I22" s="425">
        <v>7120</v>
      </c>
      <c r="J22" s="425">
        <v>6135</v>
      </c>
      <c r="K22" s="425">
        <v>5435</v>
      </c>
      <c r="L22" s="425">
        <v>4770</v>
      </c>
      <c r="M22" s="425">
        <v>4220</v>
      </c>
      <c r="N22" s="425">
        <v>3680</v>
      </c>
      <c r="O22" s="425">
        <v>3145</v>
      </c>
      <c r="P22" s="425">
        <v>2615</v>
      </c>
      <c r="Q22" s="425">
        <v>2070</v>
      </c>
      <c r="R22" s="425">
        <v>1530</v>
      </c>
      <c r="S22" s="425">
        <v>995</v>
      </c>
      <c r="T22" s="425">
        <v>460</v>
      </c>
      <c r="U22" s="425">
        <v>30</v>
      </c>
      <c r="V22" s="428"/>
      <c r="W22" s="428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379">
        <f t="shared" si="1"/>
        <v>0</v>
      </c>
      <c r="AN22" s="308">
        <f t="shared" si="2"/>
        <v>49975</v>
      </c>
      <c r="AO22" s="394"/>
    </row>
    <row r="23" spans="1:41" ht="15">
      <c r="A23" s="537">
        <v>9</v>
      </c>
      <c r="B23" s="323" t="s">
        <v>530</v>
      </c>
      <c r="C23" s="539" t="s">
        <v>556</v>
      </c>
      <c r="D23" s="556">
        <v>635</v>
      </c>
      <c r="E23" s="543">
        <v>307624.96</v>
      </c>
      <c r="F23" s="545" t="s">
        <v>557</v>
      </c>
      <c r="G23" s="439" t="s">
        <v>533</v>
      </c>
      <c r="H23" s="438">
        <v>3949.3</v>
      </c>
      <c r="I23" s="438">
        <v>24328</v>
      </c>
      <c r="J23" s="438">
        <v>24328</v>
      </c>
      <c r="K23" s="438">
        <v>24328</v>
      </c>
      <c r="L23" s="438">
        <v>24328</v>
      </c>
      <c r="M23" s="438">
        <v>24328</v>
      </c>
      <c r="N23" s="438">
        <v>24328</v>
      </c>
      <c r="O23" s="438">
        <v>24328</v>
      </c>
      <c r="P23" s="438">
        <v>24328</v>
      </c>
      <c r="Q23" s="438">
        <v>24328</v>
      </c>
      <c r="R23" s="438">
        <v>24328</v>
      </c>
      <c r="S23" s="438">
        <v>24328</v>
      </c>
      <c r="T23" s="438">
        <v>24317.66</v>
      </c>
      <c r="U23" s="438"/>
      <c r="V23" s="438"/>
      <c r="W23" s="438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384">
        <f t="shared" si="1"/>
        <v>0</v>
      </c>
      <c r="AN23" s="374">
        <f t="shared" si="2"/>
        <v>295874.95999999996</v>
      </c>
      <c r="AO23" s="394"/>
    </row>
    <row r="24" spans="1:41" ht="15">
      <c r="A24" s="538"/>
      <c r="B24" s="319" t="s">
        <v>558</v>
      </c>
      <c r="C24" s="540"/>
      <c r="D24" s="551"/>
      <c r="E24" s="544"/>
      <c r="F24" s="546"/>
      <c r="G24" s="390">
        <v>0.04369</v>
      </c>
      <c r="H24" s="435">
        <v>13315</v>
      </c>
      <c r="I24" s="435">
        <v>12380</v>
      </c>
      <c r="J24" s="435">
        <v>10705</v>
      </c>
      <c r="K24" s="435">
        <v>9480</v>
      </c>
      <c r="L24" s="435">
        <v>8315</v>
      </c>
      <c r="M24" s="435">
        <v>7353</v>
      </c>
      <c r="N24" s="435">
        <v>6420</v>
      </c>
      <c r="O24" s="435">
        <v>5480</v>
      </c>
      <c r="P24" s="435">
        <v>4555</v>
      </c>
      <c r="Q24" s="435">
        <v>3605</v>
      </c>
      <c r="R24" s="435">
        <v>2670</v>
      </c>
      <c r="S24" s="435">
        <v>1730</v>
      </c>
      <c r="T24" s="435">
        <v>800</v>
      </c>
      <c r="U24" s="435">
        <v>55</v>
      </c>
      <c r="V24" s="434"/>
      <c r="W24" s="434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379">
        <f t="shared" si="1"/>
        <v>0</v>
      </c>
      <c r="AN24" s="308">
        <f t="shared" si="2"/>
        <v>86863</v>
      </c>
      <c r="AO24" s="394"/>
    </row>
    <row r="25" spans="1:41" ht="15">
      <c r="A25" s="537">
        <v>10</v>
      </c>
      <c r="B25" s="323" t="s">
        <v>530</v>
      </c>
      <c r="C25" s="539" t="s">
        <v>559</v>
      </c>
      <c r="D25" s="556">
        <v>636</v>
      </c>
      <c r="E25" s="543">
        <v>69989</v>
      </c>
      <c r="F25" s="545" t="s">
        <v>557</v>
      </c>
      <c r="G25" s="439" t="s">
        <v>533</v>
      </c>
      <c r="H25" s="438">
        <v>680.91</v>
      </c>
      <c r="I25" s="438">
        <v>5112</v>
      </c>
      <c r="J25" s="438">
        <v>5384</v>
      </c>
      <c r="K25" s="438">
        <v>5384</v>
      </c>
      <c r="L25" s="438">
        <v>5384</v>
      </c>
      <c r="M25" s="438">
        <v>5384</v>
      </c>
      <c r="N25" s="438">
        <v>5384</v>
      </c>
      <c r="O25" s="438">
        <v>5384</v>
      </c>
      <c r="P25" s="438">
        <v>5384</v>
      </c>
      <c r="Q25" s="438">
        <v>5384</v>
      </c>
      <c r="R25" s="438">
        <v>5384</v>
      </c>
      <c r="S25" s="438">
        <v>5384</v>
      </c>
      <c r="T25" s="438">
        <v>5356.09</v>
      </c>
      <c r="U25" s="438"/>
      <c r="V25" s="438"/>
      <c r="W25" s="438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384">
        <f t="shared" si="1"/>
        <v>0</v>
      </c>
      <c r="AN25" s="374">
        <f t="shared" si="2"/>
        <v>64989</v>
      </c>
      <c r="AO25" s="394"/>
    </row>
    <row r="26" spans="1:41" ht="15">
      <c r="A26" s="538"/>
      <c r="B26" s="319" t="s">
        <v>560</v>
      </c>
      <c r="C26" s="540"/>
      <c r="D26" s="551"/>
      <c r="E26" s="544"/>
      <c r="F26" s="546"/>
      <c r="G26" s="390">
        <v>0.04369</v>
      </c>
      <c r="H26" s="435">
        <v>2935</v>
      </c>
      <c r="I26" s="435">
        <v>2735</v>
      </c>
      <c r="J26" s="435">
        <v>2370</v>
      </c>
      <c r="K26" s="435">
        <v>2100</v>
      </c>
      <c r="L26" s="435">
        <v>1840</v>
      </c>
      <c r="M26" s="435">
        <v>1630</v>
      </c>
      <c r="N26" s="435">
        <v>1420</v>
      </c>
      <c r="O26" s="435">
        <v>1215</v>
      </c>
      <c r="P26" s="435">
        <v>1010</v>
      </c>
      <c r="Q26" s="435">
        <v>800</v>
      </c>
      <c r="R26" s="435">
        <v>590</v>
      </c>
      <c r="S26" s="435">
        <v>385</v>
      </c>
      <c r="T26" s="435">
        <v>175</v>
      </c>
      <c r="U26" s="435">
        <v>15</v>
      </c>
      <c r="V26" s="434"/>
      <c r="W26" s="434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379">
        <f t="shared" si="1"/>
        <v>0</v>
      </c>
      <c r="AN26" s="308">
        <f t="shared" si="2"/>
        <v>19220</v>
      </c>
      <c r="AO26" s="394"/>
    </row>
    <row r="27" spans="1:41" ht="15">
      <c r="A27" s="537">
        <v>11</v>
      </c>
      <c r="B27" s="323" t="s">
        <v>530</v>
      </c>
      <c r="C27" s="539" t="s">
        <v>561</v>
      </c>
      <c r="D27" s="541">
        <v>637</v>
      </c>
      <c r="E27" s="543">
        <v>212555.77</v>
      </c>
      <c r="F27" s="545" t="s">
        <v>562</v>
      </c>
      <c r="G27" s="387" t="s">
        <v>533</v>
      </c>
      <c r="H27" s="427">
        <v>0</v>
      </c>
      <c r="I27" s="427">
        <v>2168</v>
      </c>
      <c r="J27" s="427">
        <v>5168</v>
      </c>
      <c r="K27" s="427">
        <v>20088</v>
      </c>
      <c r="L27" s="427">
        <v>20088</v>
      </c>
      <c r="M27" s="427">
        <v>20088</v>
      </c>
      <c r="N27" s="427">
        <v>20088</v>
      </c>
      <c r="O27" s="427">
        <v>20088</v>
      </c>
      <c r="P27" s="427">
        <v>20088</v>
      </c>
      <c r="Q27" s="427">
        <v>20088</v>
      </c>
      <c r="R27" s="427">
        <v>20088</v>
      </c>
      <c r="S27" s="427">
        <v>20088</v>
      </c>
      <c r="T27" s="427">
        <v>19677.77</v>
      </c>
      <c r="U27" s="427"/>
      <c r="V27" s="427"/>
      <c r="W27" s="427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384">
        <f t="shared" si="1"/>
        <v>0</v>
      </c>
      <c r="AN27" s="374">
        <f t="shared" si="2"/>
        <v>207805.77</v>
      </c>
      <c r="AO27" s="394"/>
    </row>
    <row r="28" spans="1:41" ht="15">
      <c r="A28" s="538"/>
      <c r="B28" s="319" t="s">
        <v>563</v>
      </c>
      <c r="C28" s="540"/>
      <c r="D28" s="542"/>
      <c r="E28" s="544"/>
      <c r="F28" s="546"/>
      <c r="G28" s="390">
        <v>0.04364</v>
      </c>
      <c r="H28" s="425">
        <v>9300</v>
      </c>
      <c r="I28" s="425">
        <v>9200</v>
      </c>
      <c r="J28" s="425">
        <v>8200</v>
      </c>
      <c r="K28" s="425">
        <v>7575</v>
      </c>
      <c r="L28" s="425">
        <v>6850</v>
      </c>
      <c r="M28" s="425">
        <v>6060</v>
      </c>
      <c r="N28" s="425">
        <v>5285</v>
      </c>
      <c r="O28" s="425">
        <v>4510</v>
      </c>
      <c r="P28" s="425">
        <v>3750</v>
      </c>
      <c r="Q28" s="425">
        <v>2965</v>
      </c>
      <c r="R28" s="425">
        <v>2190</v>
      </c>
      <c r="S28" s="425">
        <v>1415</v>
      </c>
      <c r="T28" s="425">
        <v>645</v>
      </c>
      <c r="U28" s="425">
        <v>40</v>
      </c>
      <c r="V28" s="428"/>
      <c r="W28" s="428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379">
        <f t="shared" si="1"/>
        <v>0</v>
      </c>
      <c r="AN28" s="308">
        <f t="shared" si="2"/>
        <v>67985</v>
      </c>
      <c r="AO28" s="394"/>
    </row>
    <row r="29" spans="1:41" ht="15">
      <c r="A29" s="537">
        <v>12</v>
      </c>
      <c r="B29" s="323" t="s">
        <v>530</v>
      </c>
      <c r="C29" s="539" t="s">
        <v>564</v>
      </c>
      <c r="D29" s="541">
        <v>638</v>
      </c>
      <c r="E29" s="543">
        <v>1496459</v>
      </c>
      <c r="F29" s="559" t="s">
        <v>565</v>
      </c>
      <c r="G29" s="387" t="s">
        <v>533</v>
      </c>
      <c r="H29" s="427">
        <v>0</v>
      </c>
      <c r="I29" s="427">
        <v>10224</v>
      </c>
      <c r="J29" s="427">
        <v>20224</v>
      </c>
      <c r="K29" s="427">
        <v>50224</v>
      </c>
      <c r="L29" s="427">
        <v>50224</v>
      </c>
      <c r="M29" s="427">
        <v>50224</v>
      </c>
      <c r="N29" s="427">
        <v>69682</v>
      </c>
      <c r="O29" s="427">
        <v>76168</v>
      </c>
      <c r="P29" s="427">
        <v>76168</v>
      </c>
      <c r="Q29" s="427">
        <v>76168</v>
      </c>
      <c r="R29" s="427">
        <v>76168</v>
      </c>
      <c r="S29" s="427">
        <v>76168</v>
      </c>
      <c r="T29" s="427">
        <v>76168</v>
      </c>
      <c r="U29" s="427">
        <v>76168</v>
      </c>
      <c r="V29" s="427">
        <v>76168</v>
      </c>
      <c r="W29" s="427">
        <v>76168</v>
      </c>
      <c r="X29" s="427">
        <v>76168</v>
      </c>
      <c r="Y29" s="427">
        <v>76168</v>
      </c>
      <c r="Z29" s="427">
        <v>76168</v>
      </c>
      <c r="AA29" s="427">
        <v>76168</v>
      </c>
      <c r="AB29" s="427">
        <v>76168</v>
      </c>
      <c r="AC29" s="427">
        <v>76168</v>
      </c>
      <c r="AD29" s="427">
        <v>76168</v>
      </c>
      <c r="AE29" s="426">
        <v>17219</v>
      </c>
      <c r="AF29" s="426"/>
      <c r="AG29" s="426"/>
      <c r="AH29" s="426"/>
      <c r="AI29" s="426"/>
      <c r="AJ29" s="426"/>
      <c r="AK29" s="426"/>
      <c r="AL29" s="426"/>
      <c r="AM29" s="384">
        <f t="shared" si="1"/>
        <v>245723</v>
      </c>
      <c r="AN29" s="374">
        <f t="shared" si="2"/>
        <v>1486709</v>
      </c>
      <c r="AO29" s="394"/>
    </row>
    <row r="30" spans="1:41" ht="15">
      <c r="A30" s="538"/>
      <c r="B30" s="319" t="s">
        <v>566</v>
      </c>
      <c r="C30" s="540"/>
      <c r="D30" s="542"/>
      <c r="E30" s="544"/>
      <c r="F30" s="560"/>
      <c r="G30" s="390">
        <v>0.04369</v>
      </c>
      <c r="H30" s="425">
        <v>66550</v>
      </c>
      <c r="I30" s="425">
        <v>67735</v>
      </c>
      <c r="J30" s="425">
        <v>65325</v>
      </c>
      <c r="K30" s="425">
        <v>58680</v>
      </c>
      <c r="L30" s="425">
        <v>56865</v>
      </c>
      <c r="M30" s="425">
        <v>54675</v>
      </c>
      <c r="N30" s="425">
        <v>52555</v>
      </c>
      <c r="O30" s="425">
        <v>49650</v>
      </c>
      <c r="P30" s="425">
        <v>46690</v>
      </c>
      <c r="Q30" s="425">
        <v>43470</v>
      </c>
      <c r="R30" s="425">
        <v>40380</v>
      </c>
      <c r="S30" s="425">
        <v>37295</v>
      </c>
      <c r="T30" s="425">
        <v>34300</v>
      </c>
      <c r="U30" s="425">
        <v>31115</v>
      </c>
      <c r="V30" s="425">
        <v>28025</v>
      </c>
      <c r="W30" s="425">
        <v>24935</v>
      </c>
      <c r="X30" s="424">
        <v>21910</v>
      </c>
      <c r="Y30" s="424">
        <v>18760</v>
      </c>
      <c r="Z30" s="424">
        <v>15670</v>
      </c>
      <c r="AA30" s="424">
        <v>12580</v>
      </c>
      <c r="AB30" s="424">
        <v>9520</v>
      </c>
      <c r="AC30" s="424">
        <v>6405</v>
      </c>
      <c r="AD30" s="424">
        <v>3315</v>
      </c>
      <c r="AE30" s="424">
        <v>500</v>
      </c>
      <c r="AF30" s="423"/>
      <c r="AG30" s="423"/>
      <c r="AH30" s="423"/>
      <c r="AI30" s="423"/>
      <c r="AJ30" s="423"/>
      <c r="AK30" s="423"/>
      <c r="AL30" s="423"/>
      <c r="AM30" s="379">
        <f t="shared" si="1"/>
        <v>19740</v>
      </c>
      <c r="AN30" s="308">
        <f t="shared" si="2"/>
        <v>846905</v>
      </c>
      <c r="AO30" s="394"/>
    </row>
    <row r="31" spans="1:41" ht="15">
      <c r="A31" s="537">
        <v>13</v>
      </c>
      <c r="B31" s="323" t="s">
        <v>530</v>
      </c>
      <c r="C31" s="539" t="s">
        <v>567</v>
      </c>
      <c r="D31" s="541">
        <v>639</v>
      </c>
      <c r="E31" s="543">
        <v>520249</v>
      </c>
      <c r="F31" s="559" t="s">
        <v>568</v>
      </c>
      <c r="G31" s="387" t="s">
        <v>533</v>
      </c>
      <c r="H31" s="427">
        <v>0</v>
      </c>
      <c r="I31" s="427">
        <v>5392</v>
      </c>
      <c r="J31" s="427">
        <v>10392</v>
      </c>
      <c r="K31" s="427">
        <v>45392</v>
      </c>
      <c r="L31" s="427">
        <v>45392</v>
      </c>
      <c r="M31" s="427">
        <v>45392</v>
      </c>
      <c r="N31" s="427">
        <v>45392</v>
      </c>
      <c r="O31" s="427">
        <v>45392</v>
      </c>
      <c r="P31" s="427">
        <v>45392</v>
      </c>
      <c r="Q31" s="427">
        <v>45392</v>
      </c>
      <c r="R31" s="427">
        <v>45392</v>
      </c>
      <c r="S31" s="427">
        <v>45392</v>
      </c>
      <c r="T31" s="427">
        <v>45392</v>
      </c>
      <c r="U31" s="427">
        <v>45245</v>
      </c>
      <c r="V31" s="427"/>
      <c r="W31" s="427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384">
        <f t="shared" si="1"/>
        <v>0</v>
      </c>
      <c r="AN31" s="374">
        <f t="shared" si="2"/>
        <v>514949</v>
      </c>
      <c r="AO31" s="394"/>
    </row>
    <row r="32" spans="1:41" ht="15">
      <c r="A32" s="538"/>
      <c r="B32" s="319" t="s">
        <v>569</v>
      </c>
      <c r="C32" s="540"/>
      <c r="D32" s="542"/>
      <c r="E32" s="544"/>
      <c r="F32" s="560"/>
      <c r="G32" s="390">
        <v>0.04369</v>
      </c>
      <c r="H32" s="425">
        <v>23055</v>
      </c>
      <c r="I32" s="425">
        <v>23445</v>
      </c>
      <c r="J32" s="425">
        <v>22520</v>
      </c>
      <c r="K32" s="425">
        <v>19885</v>
      </c>
      <c r="L32" s="425">
        <v>18170</v>
      </c>
      <c r="M32" s="425">
        <v>16280</v>
      </c>
      <c r="N32" s="425">
        <v>14440</v>
      </c>
      <c r="O32" s="425">
        <v>12600</v>
      </c>
      <c r="P32" s="425">
        <v>10790</v>
      </c>
      <c r="Q32" s="425">
        <v>8915</v>
      </c>
      <c r="R32" s="425">
        <v>7075</v>
      </c>
      <c r="S32" s="425">
        <v>5235</v>
      </c>
      <c r="T32" s="425">
        <v>3405</v>
      </c>
      <c r="U32" s="425">
        <v>1425</v>
      </c>
      <c r="V32" s="428"/>
      <c r="W32" s="428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379">
        <f t="shared" si="1"/>
        <v>0</v>
      </c>
      <c r="AN32" s="308">
        <f t="shared" si="2"/>
        <v>187240</v>
      </c>
      <c r="AO32" s="394"/>
    </row>
    <row r="33" spans="1:41" ht="15">
      <c r="A33" s="537">
        <v>14</v>
      </c>
      <c r="B33" s="323" t="s">
        <v>530</v>
      </c>
      <c r="C33" s="539" t="s">
        <v>570</v>
      </c>
      <c r="D33" s="541">
        <v>640</v>
      </c>
      <c r="E33" s="543">
        <f>409900-0.21</f>
        <v>409899.79</v>
      </c>
      <c r="F33" s="559" t="s">
        <v>571</v>
      </c>
      <c r="G33" s="387" t="s">
        <v>533</v>
      </c>
      <c r="H33" s="427">
        <v>0</v>
      </c>
      <c r="I33" s="427">
        <v>5384</v>
      </c>
      <c r="J33" s="427">
        <v>10384</v>
      </c>
      <c r="K33" s="427">
        <v>35348</v>
      </c>
      <c r="L33" s="427">
        <v>35348</v>
      </c>
      <c r="M33" s="427">
        <v>35348</v>
      </c>
      <c r="N33" s="427">
        <v>35348</v>
      </c>
      <c r="O33" s="427">
        <v>35348</v>
      </c>
      <c r="P33" s="427">
        <v>35348</v>
      </c>
      <c r="Q33" s="427">
        <v>35348</v>
      </c>
      <c r="R33" s="427">
        <v>35348</v>
      </c>
      <c r="S33" s="427">
        <v>35348</v>
      </c>
      <c r="T33" s="427">
        <v>35348</v>
      </c>
      <c r="U33" s="427">
        <v>35351.79</v>
      </c>
      <c r="V33" s="427"/>
      <c r="W33" s="427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384">
        <f t="shared" si="1"/>
        <v>0</v>
      </c>
      <c r="AN33" s="374">
        <f t="shared" si="2"/>
        <v>404599.79</v>
      </c>
      <c r="AO33" s="394"/>
    </row>
    <row r="34" spans="1:41" ht="15">
      <c r="A34" s="538"/>
      <c r="B34" s="319" t="s">
        <v>572</v>
      </c>
      <c r="C34" s="540"/>
      <c r="D34" s="542"/>
      <c r="E34" s="544"/>
      <c r="F34" s="560"/>
      <c r="G34" s="390">
        <v>0.04467</v>
      </c>
      <c r="H34" s="425">
        <v>18000</v>
      </c>
      <c r="I34" s="425">
        <v>20455</v>
      </c>
      <c r="J34" s="425">
        <v>20145</v>
      </c>
      <c r="K34" s="425">
        <v>15495</v>
      </c>
      <c r="L34" s="425">
        <v>14155</v>
      </c>
      <c r="M34" s="425">
        <v>12685</v>
      </c>
      <c r="N34" s="425">
        <v>11250</v>
      </c>
      <c r="O34" s="425">
        <v>9815</v>
      </c>
      <c r="P34" s="425">
        <v>8405</v>
      </c>
      <c r="Q34" s="425">
        <v>6950</v>
      </c>
      <c r="R34" s="425">
        <v>5515</v>
      </c>
      <c r="S34" s="425">
        <v>4080</v>
      </c>
      <c r="T34" s="425">
        <v>2655</v>
      </c>
      <c r="U34" s="425">
        <v>1215</v>
      </c>
      <c r="V34" s="425">
        <v>80</v>
      </c>
      <c r="W34" s="428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  <c r="AJ34" s="423"/>
      <c r="AK34" s="423"/>
      <c r="AL34" s="423"/>
      <c r="AM34" s="379">
        <f t="shared" si="1"/>
        <v>0</v>
      </c>
      <c r="AN34" s="308">
        <f t="shared" si="2"/>
        <v>150900</v>
      </c>
      <c r="AO34" s="394"/>
    </row>
    <row r="35" spans="1:41" ht="15">
      <c r="A35" s="537">
        <v>15</v>
      </c>
      <c r="B35" s="323" t="s">
        <v>530</v>
      </c>
      <c r="C35" s="555" t="s">
        <v>573</v>
      </c>
      <c r="D35" s="541">
        <v>642</v>
      </c>
      <c r="E35" s="543">
        <f>231313-0.12</f>
        <v>231312.88</v>
      </c>
      <c r="F35" s="559" t="s">
        <v>574</v>
      </c>
      <c r="G35" s="387" t="s">
        <v>533</v>
      </c>
      <c r="H35" s="438">
        <v>11533.54</v>
      </c>
      <c r="I35" s="438">
        <v>14860</v>
      </c>
      <c r="J35" s="438">
        <v>14860</v>
      </c>
      <c r="K35" s="438">
        <v>14860</v>
      </c>
      <c r="L35" s="438">
        <v>14860</v>
      </c>
      <c r="M35" s="438">
        <v>14860</v>
      </c>
      <c r="N35" s="438">
        <v>14860</v>
      </c>
      <c r="O35" s="438">
        <v>14860</v>
      </c>
      <c r="P35" s="438">
        <v>14860</v>
      </c>
      <c r="Q35" s="438">
        <v>14860</v>
      </c>
      <c r="R35" s="438">
        <v>14860</v>
      </c>
      <c r="S35" s="438">
        <v>14860</v>
      </c>
      <c r="T35" s="438">
        <v>14860</v>
      </c>
      <c r="U35" s="438">
        <v>14839.34</v>
      </c>
      <c r="V35" s="438"/>
      <c r="W35" s="438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384">
        <f t="shared" si="1"/>
        <v>0</v>
      </c>
      <c r="AN35" s="374">
        <f t="shared" si="2"/>
        <v>204692.88</v>
      </c>
      <c r="AO35" s="394"/>
    </row>
    <row r="36" spans="1:41" ht="15">
      <c r="A36" s="538"/>
      <c r="B36" s="319" t="s">
        <v>575</v>
      </c>
      <c r="C36" s="549"/>
      <c r="D36" s="542"/>
      <c r="E36" s="544"/>
      <c r="F36" s="560"/>
      <c r="G36" s="390">
        <v>0.04055</v>
      </c>
      <c r="H36" s="436">
        <v>8395</v>
      </c>
      <c r="I36" s="435">
        <v>7765</v>
      </c>
      <c r="J36" s="435">
        <v>7140</v>
      </c>
      <c r="K36" s="406">
        <v>6295</v>
      </c>
      <c r="L36" s="435">
        <v>5655</v>
      </c>
      <c r="M36" s="435">
        <v>5065</v>
      </c>
      <c r="N36" s="435">
        <v>4495</v>
      </c>
      <c r="O36" s="435">
        <v>3920</v>
      </c>
      <c r="P36" s="435">
        <v>3360</v>
      </c>
      <c r="Q36" s="435">
        <v>2775</v>
      </c>
      <c r="R36" s="435">
        <v>2205</v>
      </c>
      <c r="S36" s="435">
        <v>1630</v>
      </c>
      <c r="T36" s="435">
        <v>1060</v>
      </c>
      <c r="U36" s="435">
        <v>485</v>
      </c>
      <c r="V36" s="435">
        <v>35</v>
      </c>
      <c r="W36" s="434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379">
        <f t="shared" si="1"/>
        <v>0</v>
      </c>
      <c r="AN36" s="308">
        <f t="shared" si="2"/>
        <v>60280</v>
      </c>
      <c r="AO36" s="394"/>
    </row>
    <row r="37" spans="1:41" ht="15">
      <c r="A37" s="537">
        <v>16</v>
      </c>
      <c r="B37" s="323" t="s">
        <v>530</v>
      </c>
      <c r="C37" s="539" t="s">
        <v>576</v>
      </c>
      <c r="D37" s="541">
        <v>644</v>
      </c>
      <c r="E37" s="543">
        <f>1188567-257831-28891.82</f>
        <v>901844.18</v>
      </c>
      <c r="F37" s="564" t="s">
        <v>577</v>
      </c>
      <c r="G37" s="387" t="s">
        <v>533</v>
      </c>
      <c r="H37" s="408">
        <v>0</v>
      </c>
      <c r="I37" s="408">
        <v>10260</v>
      </c>
      <c r="J37" s="408">
        <v>16260</v>
      </c>
      <c r="K37" s="408">
        <v>37060</v>
      </c>
      <c r="L37" s="408">
        <v>37060</v>
      </c>
      <c r="M37" s="408">
        <v>37060</v>
      </c>
      <c r="N37" s="408">
        <v>37060</v>
      </c>
      <c r="O37" s="408">
        <v>37060</v>
      </c>
      <c r="P37" s="408">
        <v>37060</v>
      </c>
      <c r="Q37" s="408">
        <v>37060</v>
      </c>
      <c r="R37" s="408">
        <v>37060</v>
      </c>
      <c r="S37" s="408">
        <v>37060</v>
      </c>
      <c r="T37" s="408">
        <v>37060</v>
      </c>
      <c r="U37" s="408">
        <v>37060</v>
      </c>
      <c r="V37" s="408">
        <v>37060</v>
      </c>
      <c r="W37" s="408">
        <v>37060</v>
      </c>
      <c r="X37" s="408">
        <v>37060</v>
      </c>
      <c r="Y37" s="408">
        <v>37060</v>
      </c>
      <c r="Z37" s="408">
        <v>37060</v>
      </c>
      <c r="AA37" s="408">
        <v>37060</v>
      </c>
      <c r="AB37" s="408">
        <v>37060</v>
      </c>
      <c r="AC37" s="408">
        <v>37060</v>
      </c>
      <c r="AD37" s="408">
        <v>37060</v>
      </c>
      <c r="AE37" s="408">
        <v>37060</v>
      </c>
      <c r="AF37" s="407">
        <v>9022</v>
      </c>
      <c r="AG37" s="407"/>
      <c r="AH37" s="407"/>
      <c r="AI37" s="407"/>
      <c r="AJ37" s="407"/>
      <c r="AK37" s="407"/>
      <c r="AL37" s="407"/>
      <c r="AM37" s="384">
        <f t="shared" si="1"/>
        <v>157262</v>
      </c>
      <c r="AN37" s="374">
        <f t="shared" si="2"/>
        <v>813802</v>
      </c>
      <c r="AO37" s="394"/>
    </row>
    <row r="38" spans="1:41" ht="15">
      <c r="A38" s="538"/>
      <c r="B38" s="391" t="s">
        <v>578</v>
      </c>
      <c r="C38" s="540"/>
      <c r="D38" s="542"/>
      <c r="E38" s="544"/>
      <c r="F38" s="565"/>
      <c r="G38" s="390">
        <v>0.04154</v>
      </c>
      <c r="H38" s="406">
        <v>35805</v>
      </c>
      <c r="I38" s="406">
        <v>34975</v>
      </c>
      <c r="J38" s="406">
        <v>32475</v>
      </c>
      <c r="K38" s="406">
        <v>30870</v>
      </c>
      <c r="L38" s="406">
        <v>28765</v>
      </c>
      <c r="M38" s="406">
        <v>27260</v>
      </c>
      <c r="N38" s="406">
        <v>25830</v>
      </c>
      <c r="O38" s="406">
        <v>24405</v>
      </c>
      <c r="P38" s="406">
        <v>23040</v>
      </c>
      <c r="Q38" s="406">
        <v>21550</v>
      </c>
      <c r="R38" s="406">
        <v>20120</v>
      </c>
      <c r="S38" s="406">
        <v>18690</v>
      </c>
      <c r="T38" s="406">
        <v>17310</v>
      </c>
      <c r="U38" s="406">
        <v>15835</v>
      </c>
      <c r="V38" s="406">
        <v>14410</v>
      </c>
      <c r="W38" s="406">
        <v>12980</v>
      </c>
      <c r="X38" s="405">
        <v>11585</v>
      </c>
      <c r="Y38" s="405">
        <v>10125</v>
      </c>
      <c r="Z38" s="405">
        <v>8695</v>
      </c>
      <c r="AA38" s="405">
        <v>7270</v>
      </c>
      <c r="AB38" s="405">
        <v>5860</v>
      </c>
      <c r="AC38" s="405">
        <v>4415</v>
      </c>
      <c r="AD38" s="405">
        <v>2985</v>
      </c>
      <c r="AE38" s="405">
        <v>1560</v>
      </c>
      <c r="AF38" s="405">
        <v>245</v>
      </c>
      <c r="AG38" s="404"/>
      <c r="AH38" s="404"/>
      <c r="AI38" s="404"/>
      <c r="AJ38" s="404"/>
      <c r="AK38" s="404"/>
      <c r="AL38" s="404"/>
      <c r="AM38" s="379">
        <f t="shared" si="1"/>
        <v>15065</v>
      </c>
      <c r="AN38" s="308">
        <f t="shared" si="2"/>
        <v>437060</v>
      </c>
      <c r="AO38" s="394"/>
    </row>
    <row r="39" spans="1:41" ht="15">
      <c r="A39" s="537">
        <v>17</v>
      </c>
      <c r="B39" s="323" t="s">
        <v>530</v>
      </c>
      <c r="C39" s="539" t="s">
        <v>579</v>
      </c>
      <c r="D39" s="541">
        <v>645</v>
      </c>
      <c r="E39" s="543">
        <v>785535</v>
      </c>
      <c r="F39" s="564" t="s">
        <v>580</v>
      </c>
      <c r="G39" s="387" t="s">
        <v>533</v>
      </c>
      <c r="H39" s="408">
        <v>0</v>
      </c>
      <c r="I39" s="408">
        <v>10452</v>
      </c>
      <c r="J39" s="408">
        <v>20452</v>
      </c>
      <c r="K39" s="408">
        <v>66652</v>
      </c>
      <c r="L39" s="408">
        <v>66652</v>
      </c>
      <c r="M39" s="408">
        <v>66652</v>
      </c>
      <c r="N39" s="408">
        <v>66652</v>
      </c>
      <c r="O39" s="408">
        <v>66652</v>
      </c>
      <c r="P39" s="408">
        <v>66652</v>
      </c>
      <c r="Q39" s="408">
        <v>66652</v>
      </c>
      <c r="R39" s="408">
        <v>66652</v>
      </c>
      <c r="S39" s="408">
        <v>66652</v>
      </c>
      <c r="T39" s="408">
        <v>66652</v>
      </c>
      <c r="U39" s="408">
        <v>66652</v>
      </c>
      <c r="V39" s="408">
        <v>15084</v>
      </c>
      <c r="W39" s="408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384">
        <f aca="true" t="shared" si="3" ref="AM39:AM70">SUM(AB39:AL39)</f>
        <v>0</v>
      </c>
      <c r="AN39" s="374">
        <f aca="true" t="shared" si="4" ref="AN39:AN70">SUM(H39:AA39)+AM39</f>
        <v>779160</v>
      </c>
      <c r="AO39" s="394"/>
    </row>
    <row r="40" spans="1:41" ht="15">
      <c r="A40" s="538"/>
      <c r="B40" s="391" t="s">
        <v>581</v>
      </c>
      <c r="C40" s="540"/>
      <c r="D40" s="542"/>
      <c r="E40" s="544"/>
      <c r="F40" s="565"/>
      <c r="G40" s="390">
        <v>0.04369</v>
      </c>
      <c r="H40" s="406">
        <v>34775</v>
      </c>
      <c r="I40" s="406">
        <v>34120</v>
      </c>
      <c r="J40" s="406">
        <v>30640</v>
      </c>
      <c r="K40" s="406">
        <v>28335</v>
      </c>
      <c r="L40" s="406">
        <v>25940</v>
      </c>
      <c r="M40" s="406">
        <v>23300</v>
      </c>
      <c r="N40" s="406">
        <v>20730</v>
      </c>
      <c r="O40" s="406">
        <v>18165</v>
      </c>
      <c r="P40" s="406">
        <v>15640</v>
      </c>
      <c r="Q40" s="406">
        <v>13030</v>
      </c>
      <c r="R40" s="406">
        <v>10460</v>
      </c>
      <c r="S40" s="406">
        <v>7890</v>
      </c>
      <c r="T40" s="406">
        <v>5340</v>
      </c>
      <c r="U40" s="406">
        <v>2755</v>
      </c>
      <c r="V40" s="406">
        <v>415</v>
      </c>
      <c r="W40" s="409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379">
        <f t="shared" si="3"/>
        <v>0</v>
      </c>
      <c r="AN40" s="308">
        <f t="shared" si="4"/>
        <v>271535</v>
      </c>
      <c r="AO40" s="394"/>
    </row>
    <row r="41" spans="1:41" ht="26.25" customHeight="1">
      <c r="A41" s="537">
        <v>18</v>
      </c>
      <c r="B41" s="323" t="s">
        <v>530</v>
      </c>
      <c r="C41" s="539" t="s">
        <v>582</v>
      </c>
      <c r="D41" s="541">
        <v>646</v>
      </c>
      <c r="E41" s="562">
        <f>2223157+31089</f>
        <v>2254246</v>
      </c>
      <c r="F41" s="566" t="s">
        <v>583</v>
      </c>
      <c r="G41" s="387" t="s">
        <v>533</v>
      </c>
      <c r="H41" s="408">
        <v>0</v>
      </c>
      <c r="I41" s="408">
        <v>20432</v>
      </c>
      <c r="J41" s="408">
        <v>40432</v>
      </c>
      <c r="K41" s="408">
        <v>102680</v>
      </c>
      <c r="L41" s="408">
        <v>102680</v>
      </c>
      <c r="M41" s="408">
        <v>102680</v>
      </c>
      <c r="N41" s="408">
        <v>102680</v>
      </c>
      <c r="O41" s="408">
        <v>102680</v>
      </c>
      <c r="P41" s="408">
        <v>102680</v>
      </c>
      <c r="Q41" s="408">
        <v>102680</v>
      </c>
      <c r="R41" s="408">
        <v>102680</v>
      </c>
      <c r="S41" s="408">
        <v>102680</v>
      </c>
      <c r="T41" s="408">
        <v>102680</v>
      </c>
      <c r="U41" s="408">
        <v>102680</v>
      </c>
      <c r="V41" s="408">
        <v>102680</v>
      </c>
      <c r="W41" s="408">
        <v>102680</v>
      </c>
      <c r="X41" s="408">
        <v>102680</v>
      </c>
      <c r="Y41" s="408">
        <v>102680</v>
      </c>
      <c r="Z41" s="408">
        <v>102680</v>
      </c>
      <c r="AA41" s="408">
        <v>102680</v>
      </c>
      <c r="AB41" s="408">
        <v>102680</v>
      </c>
      <c r="AC41" s="408">
        <v>102680</v>
      </c>
      <c r="AD41" s="408">
        <v>102680</v>
      </c>
      <c r="AE41" s="408">
        <v>102680</v>
      </c>
      <c r="AF41" s="407">
        <v>25602</v>
      </c>
      <c r="AG41" s="407"/>
      <c r="AH41" s="407"/>
      <c r="AI41" s="407"/>
      <c r="AJ41" s="407"/>
      <c r="AK41" s="407"/>
      <c r="AL41" s="407"/>
      <c r="AM41" s="384">
        <f t="shared" si="3"/>
        <v>436322</v>
      </c>
      <c r="AN41" s="374">
        <f t="shared" si="4"/>
        <v>2242746</v>
      </c>
      <c r="AO41" s="394"/>
    </row>
    <row r="42" spans="1:41" ht="26.25" customHeight="1">
      <c r="A42" s="538"/>
      <c r="B42" s="391" t="s">
        <v>584</v>
      </c>
      <c r="C42" s="540"/>
      <c r="D42" s="542"/>
      <c r="E42" s="563"/>
      <c r="F42" s="567"/>
      <c r="G42" s="390">
        <v>0.04369</v>
      </c>
      <c r="H42" s="406">
        <v>100385</v>
      </c>
      <c r="I42" s="406">
        <v>99280</v>
      </c>
      <c r="J42" s="406">
        <v>88705</v>
      </c>
      <c r="K42" s="406">
        <v>83325</v>
      </c>
      <c r="L42" s="406">
        <v>79720</v>
      </c>
      <c r="M42" s="406">
        <v>75545</v>
      </c>
      <c r="N42" s="406">
        <v>71590</v>
      </c>
      <c r="O42" s="406">
        <v>67630</v>
      </c>
      <c r="P42" s="406">
        <v>63850</v>
      </c>
      <c r="Q42" s="406">
        <v>59720</v>
      </c>
      <c r="R42" s="406">
        <v>55765</v>
      </c>
      <c r="S42" s="406">
        <v>51810</v>
      </c>
      <c r="T42" s="406">
        <v>47985</v>
      </c>
      <c r="U42" s="406">
        <v>43895</v>
      </c>
      <c r="V42" s="406">
        <v>39940</v>
      </c>
      <c r="W42" s="406">
        <v>35985</v>
      </c>
      <c r="X42" s="405">
        <v>32115</v>
      </c>
      <c r="Y42" s="405">
        <v>28070</v>
      </c>
      <c r="Z42" s="405">
        <v>24115</v>
      </c>
      <c r="AA42" s="405">
        <v>20160</v>
      </c>
      <c r="AB42" s="405">
        <v>16250</v>
      </c>
      <c r="AC42" s="405">
        <v>12245</v>
      </c>
      <c r="AD42" s="405">
        <v>8290</v>
      </c>
      <c r="AE42" s="405">
        <v>4335</v>
      </c>
      <c r="AF42" s="405">
        <v>685</v>
      </c>
      <c r="AG42" s="404"/>
      <c r="AH42" s="404"/>
      <c r="AI42" s="404"/>
      <c r="AJ42" s="404"/>
      <c r="AK42" s="404"/>
      <c r="AL42" s="404"/>
      <c r="AM42" s="379">
        <f t="shared" si="3"/>
        <v>41805</v>
      </c>
      <c r="AN42" s="308">
        <f t="shared" si="4"/>
        <v>1211395</v>
      </c>
      <c r="AO42" s="394"/>
    </row>
    <row r="43" spans="1:41" ht="19.5" customHeight="1">
      <c r="A43" s="537">
        <v>19</v>
      </c>
      <c r="B43" s="323" t="s">
        <v>530</v>
      </c>
      <c r="C43" s="539" t="s">
        <v>231</v>
      </c>
      <c r="D43" s="541">
        <v>647</v>
      </c>
      <c r="E43" s="543">
        <v>1632032</v>
      </c>
      <c r="F43" s="566" t="s">
        <v>583</v>
      </c>
      <c r="G43" s="387" t="s">
        <v>533</v>
      </c>
      <c r="H43" s="408">
        <v>0</v>
      </c>
      <c r="I43" s="408">
        <v>40856</v>
      </c>
      <c r="J43" s="408">
        <v>60856</v>
      </c>
      <c r="K43" s="408">
        <v>66024</v>
      </c>
      <c r="L43" s="408">
        <v>66024</v>
      </c>
      <c r="M43" s="408">
        <v>66024</v>
      </c>
      <c r="N43" s="408">
        <v>66024</v>
      </c>
      <c r="O43" s="408">
        <v>66024</v>
      </c>
      <c r="P43" s="408">
        <v>66024</v>
      </c>
      <c r="Q43" s="408">
        <v>66024</v>
      </c>
      <c r="R43" s="408">
        <v>66024</v>
      </c>
      <c r="S43" s="408">
        <v>66024</v>
      </c>
      <c r="T43" s="408">
        <v>66024</v>
      </c>
      <c r="U43" s="408">
        <v>66024</v>
      </c>
      <c r="V43" s="408">
        <v>66024</v>
      </c>
      <c r="W43" s="408">
        <v>66024</v>
      </c>
      <c r="X43" s="408">
        <v>66024</v>
      </c>
      <c r="Y43" s="408">
        <v>66024</v>
      </c>
      <c r="Z43" s="408">
        <v>66024</v>
      </c>
      <c r="AA43" s="408">
        <v>66024</v>
      </c>
      <c r="AB43" s="408">
        <v>66024</v>
      </c>
      <c r="AC43" s="408">
        <v>66024</v>
      </c>
      <c r="AD43" s="408">
        <v>66024</v>
      </c>
      <c r="AE43" s="408">
        <v>66024</v>
      </c>
      <c r="AF43" s="407">
        <v>16585</v>
      </c>
      <c r="AG43" s="407"/>
      <c r="AH43" s="407"/>
      <c r="AI43" s="407"/>
      <c r="AJ43" s="407"/>
      <c r="AK43" s="407"/>
      <c r="AL43" s="407"/>
      <c r="AM43" s="384">
        <f t="shared" si="3"/>
        <v>280681</v>
      </c>
      <c r="AN43" s="374">
        <f t="shared" si="4"/>
        <v>1504801</v>
      </c>
      <c r="AO43" s="394"/>
    </row>
    <row r="44" spans="1:41" ht="19.5" customHeight="1">
      <c r="A44" s="538"/>
      <c r="B44" s="391" t="s">
        <v>585</v>
      </c>
      <c r="C44" s="540"/>
      <c r="D44" s="542"/>
      <c r="E44" s="544"/>
      <c r="F44" s="567"/>
      <c r="G44" s="390">
        <v>0.04369</v>
      </c>
      <c r="H44" s="406">
        <v>67360</v>
      </c>
      <c r="I44" s="406">
        <v>66375</v>
      </c>
      <c r="J44" s="406">
        <v>58215</v>
      </c>
      <c r="K44" s="406">
        <v>53655</v>
      </c>
      <c r="L44" s="406">
        <v>51265</v>
      </c>
      <c r="M44" s="406">
        <v>48580</v>
      </c>
      <c r="N44" s="406">
        <v>46035</v>
      </c>
      <c r="O44" s="406">
        <v>43495</v>
      </c>
      <c r="P44" s="406">
        <v>41065</v>
      </c>
      <c r="Q44" s="406">
        <v>38405</v>
      </c>
      <c r="R44" s="406">
        <v>35860</v>
      </c>
      <c r="S44" s="406">
        <v>33320</v>
      </c>
      <c r="T44" s="406">
        <v>30860</v>
      </c>
      <c r="U44" s="406">
        <v>28230</v>
      </c>
      <c r="V44" s="406">
        <v>25685</v>
      </c>
      <c r="W44" s="406">
        <v>23145</v>
      </c>
      <c r="X44" s="405">
        <v>20655</v>
      </c>
      <c r="Y44" s="405">
        <v>18055</v>
      </c>
      <c r="Z44" s="405">
        <v>15510</v>
      </c>
      <c r="AA44" s="405">
        <v>12970</v>
      </c>
      <c r="AB44" s="405">
        <v>10455</v>
      </c>
      <c r="AC44" s="405">
        <v>7880</v>
      </c>
      <c r="AD44" s="405">
        <v>5335</v>
      </c>
      <c r="AE44" s="405">
        <v>2795</v>
      </c>
      <c r="AF44" s="405">
        <v>445</v>
      </c>
      <c r="AG44" s="404"/>
      <c r="AH44" s="404"/>
      <c r="AI44" s="404"/>
      <c r="AJ44" s="404"/>
      <c r="AK44" s="404"/>
      <c r="AL44" s="404"/>
      <c r="AM44" s="379">
        <f t="shared" si="3"/>
        <v>26910</v>
      </c>
      <c r="AN44" s="308">
        <f t="shared" si="4"/>
        <v>785650</v>
      </c>
      <c r="AO44" s="394"/>
    </row>
    <row r="45" spans="1:41" ht="26.25" customHeight="1">
      <c r="A45" s="537">
        <v>20</v>
      </c>
      <c r="B45" s="323" t="s">
        <v>530</v>
      </c>
      <c r="C45" s="539" t="s">
        <v>586</v>
      </c>
      <c r="D45" s="541">
        <v>649</v>
      </c>
      <c r="E45" s="562">
        <f>1181972+164205</f>
        <v>1346177</v>
      </c>
      <c r="F45" s="566" t="s">
        <v>587</v>
      </c>
      <c r="G45" s="387" t="s">
        <v>533</v>
      </c>
      <c r="H45" s="408">
        <v>0</v>
      </c>
      <c r="I45" s="408">
        <v>20428</v>
      </c>
      <c r="J45" s="408">
        <v>40428</v>
      </c>
      <c r="K45" s="408">
        <v>51752</v>
      </c>
      <c r="L45" s="408">
        <v>59764</v>
      </c>
      <c r="M45" s="408">
        <v>59764</v>
      </c>
      <c r="N45" s="408">
        <v>59764</v>
      </c>
      <c r="O45" s="408">
        <v>59764</v>
      </c>
      <c r="P45" s="408">
        <v>59764</v>
      </c>
      <c r="Q45" s="408">
        <v>59764</v>
      </c>
      <c r="R45" s="408">
        <v>59764</v>
      </c>
      <c r="S45" s="408">
        <v>59764</v>
      </c>
      <c r="T45" s="408">
        <v>59764</v>
      </c>
      <c r="U45" s="408">
        <v>59764</v>
      </c>
      <c r="V45" s="408">
        <v>59764</v>
      </c>
      <c r="W45" s="408">
        <v>59764</v>
      </c>
      <c r="X45" s="408">
        <v>59764</v>
      </c>
      <c r="Y45" s="408">
        <v>59764</v>
      </c>
      <c r="Z45" s="408">
        <v>59764</v>
      </c>
      <c r="AA45" s="408">
        <v>59764</v>
      </c>
      <c r="AB45" s="408">
        <v>59764</v>
      </c>
      <c r="AC45" s="408">
        <v>59764</v>
      </c>
      <c r="AD45" s="408">
        <v>59764</v>
      </c>
      <c r="AE45" s="408">
        <v>59764</v>
      </c>
      <c r="AF45" s="407">
        <v>29789</v>
      </c>
      <c r="AG45" s="407"/>
      <c r="AH45" s="407"/>
      <c r="AI45" s="407"/>
      <c r="AJ45" s="407"/>
      <c r="AK45" s="407"/>
      <c r="AL45" s="407"/>
      <c r="AM45" s="384">
        <f t="shared" si="3"/>
        <v>268845</v>
      </c>
      <c r="AN45" s="374">
        <f t="shared" si="4"/>
        <v>1337677</v>
      </c>
      <c r="AO45" s="394"/>
    </row>
    <row r="46" spans="1:41" ht="26.25" customHeight="1">
      <c r="A46" s="538"/>
      <c r="B46" s="391" t="s">
        <v>588</v>
      </c>
      <c r="C46" s="540"/>
      <c r="D46" s="542"/>
      <c r="E46" s="563"/>
      <c r="F46" s="567"/>
      <c r="G46" s="390">
        <v>0.04364</v>
      </c>
      <c r="H46" s="406">
        <v>59830</v>
      </c>
      <c r="I46" s="406">
        <v>59145</v>
      </c>
      <c r="J46" s="406">
        <v>57450</v>
      </c>
      <c r="K46" s="406">
        <v>48865</v>
      </c>
      <c r="L46" s="406">
        <v>46960</v>
      </c>
      <c r="M46" s="406">
        <v>44545</v>
      </c>
      <c r="N46" s="406">
        <v>42240</v>
      </c>
      <c r="O46" s="406">
        <v>39940</v>
      </c>
      <c r="P46" s="406">
        <v>37740</v>
      </c>
      <c r="Q46" s="406">
        <v>35335</v>
      </c>
      <c r="R46" s="406">
        <v>33030</v>
      </c>
      <c r="S46" s="406">
        <v>30730</v>
      </c>
      <c r="T46" s="406">
        <v>28505</v>
      </c>
      <c r="U46" s="406">
        <v>26125</v>
      </c>
      <c r="V46" s="406">
        <v>23820</v>
      </c>
      <c r="W46" s="406">
        <v>21520</v>
      </c>
      <c r="X46" s="405">
        <v>19270</v>
      </c>
      <c r="Y46" s="405">
        <v>16915</v>
      </c>
      <c r="Z46" s="405">
        <v>14610</v>
      </c>
      <c r="AA46" s="405">
        <v>12310</v>
      </c>
      <c r="AB46" s="405">
        <v>10035</v>
      </c>
      <c r="AC46" s="405">
        <v>7705</v>
      </c>
      <c r="AD46" s="405">
        <v>5400</v>
      </c>
      <c r="AE46" s="405">
        <v>3100</v>
      </c>
      <c r="AF46" s="405">
        <v>810</v>
      </c>
      <c r="AG46" s="404"/>
      <c r="AH46" s="404"/>
      <c r="AI46" s="404"/>
      <c r="AJ46" s="404"/>
      <c r="AK46" s="404"/>
      <c r="AL46" s="404"/>
      <c r="AM46" s="379">
        <f t="shared" si="3"/>
        <v>27050</v>
      </c>
      <c r="AN46" s="308">
        <f t="shared" si="4"/>
        <v>725935</v>
      </c>
      <c r="AO46" s="394"/>
    </row>
    <row r="47" spans="1:41" ht="21" customHeight="1">
      <c r="A47" s="537">
        <v>21</v>
      </c>
      <c r="B47" s="323" t="s">
        <v>530</v>
      </c>
      <c r="C47" s="539" t="s">
        <v>589</v>
      </c>
      <c r="D47" s="541">
        <v>650</v>
      </c>
      <c r="E47" s="543">
        <f>1108154-97425-61240.54</f>
        <v>949488.46</v>
      </c>
      <c r="F47" s="566" t="s">
        <v>590</v>
      </c>
      <c r="G47" s="387" t="s">
        <v>533</v>
      </c>
      <c r="H47" s="408">
        <v>0</v>
      </c>
      <c r="I47" s="408">
        <v>16432</v>
      </c>
      <c r="J47" s="408">
        <v>28432</v>
      </c>
      <c r="K47" s="408">
        <v>36376</v>
      </c>
      <c r="L47" s="408">
        <v>36376</v>
      </c>
      <c r="M47" s="408">
        <v>36376</v>
      </c>
      <c r="N47" s="408">
        <v>36376</v>
      </c>
      <c r="O47" s="408">
        <v>36376</v>
      </c>
      <c r="P47" s="408">
        <v>36376</v>
      </c>
      <c r="Q47" s="408">
        <v>36376</v>
      </c>
      <c r="R47" s="408">
        <v>36376</v>
      </c>
      <c r="S47" s="408">
        <v>36376</v>
      </c>
      <c r="T47" s="408">
        <v>36376</v>
      </c>
      <c r="U47" s="408">
        <v>36376</v>
      </c>
      <c r="V47" s="408">
        <v>36376</v>
      </c>
      <c r="W47" s="408">
        <v>36376</v>
      </c>
      <c r="X47" s="408">
        <v>36376</v>
      </c>
      <c r="Y47" s="408">
        <v>36376</v>
      </c>
      <c r="Z47" s="408">
        <v>36376</v>
      </c>
      <c r="AA47" s="408">
        <v>36376</v>
      </c>
      <c r="AB47" s="408">
        <v>36376</v>
      </c>
      <c r="AC47" s="408">
        <v>36376</v>
      </c>
      <c r="AD47" s="408">
        <v>36376</v>
      </c>
      <c r="AE47" s="408">
        <v>36376</v>
      </c>
      <c r="AF47" s="407">
        <v>9030</v>
      </c>
      <c r="AG47" s="407"/>
      <c r="AH47" s="407"/>
      <c r="AI47" s="407"/>
      <c r="AJ47" s="407"/>
      <c r="AK47" s="407"/>
      <c r="AL47" s="407"/>
      <c r="AM47" s="384">
        <f t="shared" si="3"/>
        <v>154534</v>
      </c>
      <c r="AN47" s="374">
        <f t="shared" si="4"/>
        <v>817790</v>
      </c>
      <c r="AO47" s="394"/>
    </row>
    <row r="48" spans="1:41" ht="21" customHeight="1">
      <c r="A48" s="538"/>
      <c r="B48" s="391" t="s">
        <v>591</v>
      </c>
      <c r="C48" s="540"/>
      <c r="D48" s="542"/>
      <c r="E48" s="544"/>
      <c r="F48" s="567"/>
      <c r="G48" s="390">
        <v>0.04364</v>
      </c>
      <c r="H48" s="406">
        <v>36580</v>
      </c>
      <c r="I48" s="406">
        <v>36125</v>
      </c>
      <c r="J48" s="406">
        <v>31895</v>
      </c>
      <c r="K48" s="406">
        <v>29550</v>
      </c>
      <c r="L48" s="406">
        <v>28240</v>
      </c>
      <c r="M48" s="406">
        <v>26765</v>
      </c>
      <c r="N48" s="406">
        <v>25360</v>
      </c>
      <c r="O48" s="406">
        <v>23960</v>
      </c>
      <c r="P48" s="406">
        <v>22620</v>
      </c>
      <c r="Q48" s="406">
        <v>21155</v>
      </c>
      <c r="R48" s="406">
        <v>19755</v>
      </c>
      <c r="S48" s="406">
        <v>18355</v>
      </c>
      <c r="T48" s="406">
        <v>17000</v>
      </c>
      <c r="U48" s="406">
        <v>15550</v>
      </c>
      <c r="V48" s="406">
        <v>14150</v>
      </c>
      <c r="W48" s="406">
        <v>12750</v>
      </c>
      <c r="X48" s="405">
        <v>11380</v>
      </c>
      <c r="Y48" s="405">
        <v>9945</v>
      </c>
      <c r="Z48" s="405">
        <v>8545</v>
      </c>
      <c r="AA48" s="405">
        <v>7140</v>
      </c>
      <c r="AB48" s="405">
        <v>5755</v>
      </c>
      <c r="AC48" s="405">
        <v>4340</v>
      </c>
      <c r="AD48" s="405">
        <v>2935</v>
      </c>
      <c r="AE48" s="405">
        <v>1535</v>
      </c>
      <c r="AF48" s="405">
        <v>245</v>
      </c>
      <c r="AG48" s="404"/>
      <c r="AH48" s="404"/>
      <c r="AI48" s="404"/>
      <c r="AJ48" s="404"/>
      <c r="AK48" s="404"/>
      <c r="AL48" s="404"/>
      <c r="AM48" s="379">
        <f t="shared" si="3"/>
        <v>14810</v>
      </c>
      <c r="AN48" s="308">
        <f t="shared" si="4"/>
        <v>431630</v>
      </c>
      <c r="AO48" s="394"/>
    </row>
    <row r="49" spans="1:41" ht="15">
      <c r="A49" s="537">
        <v>22</v>
      </c>
      <c r="B49" s="323" t="s">
        <v>530</v>
      </c>
      <c r="C49" s="539" t="s">
        <v>592</v>
      </c>
      <c r="D49" s="541">
        <v>651</v>
      </c>
      <c r="E49" s="543">
        <f>225000-4003.53</f>
        <v>220996.47</v>
      </c>
      <c r="F49" s="566" t="s">
        <v>593</v>
      </c>
      <c r="G49" s="387" t="s">
        <v>533</v>
      </c>
      <c r="H49" s="408">
        <v>740.21</v>
      </c>
      <c r="I49" s="408">
        <v>8400</v>
      </c>
      <c r="J49" s="408">
        <v>16780</v>
      </c>
      <c r="K49" s="408">
        <v>16780</v>
      </c>
      <c r="L49" s="408">
        <v>16780</v>
      </c>
      <c r="M49" s="408">
        <v>16780</v>
      </c>
      <c r="N49" s="408">
        <v>16780</v>
      </c>
      <c r="O49" s="408">
        <v>16780</v>
      </c>
      <c r="P49" s="408">
        <v>16780</v>
      </c>
      <c r="Q49" s="408">
        <v>16780</v>
      </c>
      <c r="R49" s="408">
        <v>16780</v>
      </c>
      <c r="S49" s="408">
        <v>16780</v>
      </c>
      <c r="T49" s="408">
        <v>16780</v>
      </c>
      <c r="U49" s="408">
        <v>16780</v>
      </c>
      <c r="V49" s="408">
        <v>4121.26</v>
      </c>
      <c r="W49" s="408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7"/>
      <c r="AL49" s="407"/>
      <c r="AM49" s="384">
        <f t="shared" si="3"/>
        <v>0</v>
      </c>
      <c r="AN49" s="374">
        <f t="shared" si="4"/>
        <v>214621.47</v>
      </c>
      <c r="AO49" s="394"/>
    </row>
    <row r="50" spans="1:41" ht="15">
      <c r="A50" s="538"/>
      <c r="B50" s="391" t="s">
        <v>594</v>
      </c>
      <c r="C50" s="540"/>
      <c r="D50" s="542"/>
      <c r="E50" s="544"/>
      <c r="F50" s="567"/>
      <c r="G50" s="390">
        <v>0.04364</v>
      </c>
      <c r="H50" s="421">
        <v>9610</v>
      </c>
      <c r="I50" s="421">
        <v>9420</v>
      </c>
      <c r="J50" s="421">
        <v>8110</v>
      </c>
      <c r="K50" s="421">
        <v>7175</v>
      </c>
      <c r="L50" s="421">
        <v>6545</v>
      </c>
      <c r="M50" s="421">
        <v>5880</v>
      </c>
      <c r="N50" s="421">
        <v>5235</v>
      </c>
      <c r="O50" s="421">
        <v>4585</v>
      </c>
      <c r="P50" s="421">
        <v>3950</v>
      </c>
      <c r="Q50" s="421">
        <v>3295</v>
      </c>
      <c r="R50" s="421">
        <v>2650</v>
      </c>
      <c r="S50" s="421">
        <v>2000</v>
      </c>
      <c r="T50" s="421">
        <v>1360</v>
      </c>
      <c r="U50" s="421">
        <v>710</v>
      </c>
      <c r="V50" s="421">
        <v>115</v>
      </c>
      <c r="W50" s="432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379">
        <f t="shared" si="3"/>
        <v>0</v>
      </c>
      <c r="AN50" s="308">
        <f t="shared" si="4"/>
        <v>70640</v>
      </c>
      <c r="AO50" s="394"/>
    </row>
    <row r="51" spans="1:41" ht="15">
      <c r="A51" s="537">
        <v>23</v>
      </c>
      <c r="B51" s="323" t="s">
        <v>530</v>
      </c>
      <c r="C51" s="539" t="s">
        <v>595</v>
      </c>
      <c r="D51" s="541">
        <v>652</v>
      </c>
      <c r="E51" s="543">
        <f>888438-1.11</f>
        <v>888436.89</v>
      </c>
      <c r="F51" s="566" t="s">
        <v>596</v>
      </c>
      <c r="G51" s="387" t="s">
        <v>533</v>
      </c>
      <c r="H51" s="408">
        <v>0</v>
      </c>
      <c r="I51" s="408">
        <v>20744</v>
      </c>
      <c r="J51" s="408">
        <v>40744</v>
      </c>
      <c r="K51" s="408">
        <v>71128</v>
      </c>
      <c r="L51" s="408">
        <v>71128</v>
      </c>
      <c r="M51" s="408">
        <v>71128</v>
      </c>
      <c r="N51" s="408">
        <v>71128</v>
      </c>
      <c r="O51" s="408">
        <v>71128</v>
      </c>
      <c r="P51" s="408">
        <v>71128</v>
      </c>
      <c r="Q51" s="408">
        <v>71128</v>
      </c>
      <c r="R51" s="408">
        <v>71128</v>
      </c>
      <c r="S51" s="408">
        <v>71128</v>
      </c>
      <c r="T51" s="408">
        <v>71128</v>
      </c>
      <c r="U51" s="408">
        <v>71128</v>
      </c>
      <c r="V51" s="408">
        <v>35540.89</v>
      </c>
      <c r="W51" s="408"/>
      <c r="X51" s="407"/>
      <c r="Y51" s="407"/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384">
        <f t="shared" si="3"/>
        <v>0</v>
      </c>
      <c r="AN51" s="374">
        <f t="shared" si="4"/>
        <v>879436.89</v>
      </c>
      <c r="AO51" s="394"/>
    </row>
    <row r="52" spans="1:41" ht="15">
      <c r="A52" s="538"/>
      <c r="B52" s="422" t="s">
        <v>597</v>
      </c>
      <c r="C52" s="568"/>
      <c r="D52" s="569"/>
      <c r="E52" s="570"/>
      <c r="F52" s="567"/>
      <c r="G52" s="390">
        <v>0.04369</v>
      </c>
      <c r="H52" s="406">
        <v>39375</v>
      </c>
      <c r="I52" s="406">
        <v>39930</v>
      </c>
      <c r="J52" s="406">
        <v>37775</v>
      </c>
      <c r="K52" s="406">
        <v>32660</v>
      </c>
      <c r="L52" s="406">
        <v>29930</v>
      </c>
      <c r="M52" s="406">
        <v>26960</v>
      </c>
      <c r="N52" s="406">
        <v>24075</v>
      </c>
      <c r="O52" s="406">
        <v>21190</v>
      </c>
      <c r="P52" s="406">
        <v>18360</v>
      </c>
      <c r="Q52" s="406">
        <v>15425</v>
      </c>
      <c r="R52" s="406">
        <v>12540</v>
      </c>
      <c r="S52" s="406">
        <v>9655</v>
      </c>
      <c r="T52" s="406">
        <v>6790</v>
      </c>
      <c r="U52" s="406">
        <v>3885</v>
      </c>
      <c r="V52" s="406">
        <v>1020</v>
      </c>
      <c r="W52" s="409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379">
        <f t="shared" si="3"/>
        <v>0</v>
      </c>
      <c r="AN52" s="308">
        <f t="shared" si="4"/>
        <v>319570</v>
      </c>
      <c r="AO52" s="394"/>
    </row>
    <row r="53" spans="1:41" ht="22.5" customHeight="1">
      <c r="A53" s="537">
        <v>24</v>
      </c>
      <c r="B53" s="323" t="s">
        <v>530</v>
      </c>
      <c r="C53" s="539" t="s">
        <v>598</v>
      </c>
      <c r="D53" s="541">
        <v>653</v>
      </c>
      <c r="E53" s="543">
        <f>74835+24822-0.26+294955-28536.73</f>
        <v>366075.01</v>
      </c>
      <c r="F53" s="566" t="s">
        <v>599</v>
      </c>
      <c r="G53" s="387" t="s">
        <v>533</v>
      </c>
      <c r="H53" s="431">
        <v>24807.3</v>
      </c>
      <c r="I53" s="431">
        <v>27828</v>
      </c>
      <c r="J53" s="431">
        <v>27828</v>
      </c>
      <c r="K53" s="431">
        <v>27828</v>
      </c>
      <c r="L53" s="431">
        <v>13904.7</v>
      </c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384">
        <f t="shared" si="3"/>
        <v>0</v>
      </c>
      <c r="AN53" s="374">
        <f t="shared" si="4"/>
        <v>122196</v>
      </c>
      <c r="AO53" s="394"/>
    </row>
    <row r="54" spans="1:41" ht="22.5" customHeight="1">
      <c r="A54" s="538"/>
      <c r="B54" s="391" t="s">
        <v>600</v>
      </c>
      <c r="C54" s="540"/>
      <c r="D54" s="542"/>
      <c r="E54" s="544"/>
      <c r="F54" s="567"/>
      <c r="G54" s="390">
        <v>0.04369</v>
      </c>
      <c r="H54" s="406">
        <v>5300</v>
      </c>
      <c r="I54" s="406">
        <v>4135</v>
      </c>
      <c r="J54" s="406">
        <v>2620</v>
      </c>
      <c r="K54" s="406">
        <v>1445</v>
      </c>
      <c r="L54" s="406">
        <v>380</v>
      </c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379">
        <f t="shared" si="3"/>
        <v>0</v>
      </c>
      <c r="AN54" s="308">
        <f t="shared" si="4"/>
        <v>13880</v>
      </c>
      <c r="AO54" s="394"/>
    </row>
    <row r="55" spans="1:41" ht="22.5" customHeight="1">
      <c r="A55" s="537">
        <v>25</v>
      </c>
      <c r="B55" s="429" t="s">
        <v>530</v>
      </c>
      <c r="C55" s="571" t="s">
        <v>1002</v>
      </c>
      <c r="D55" s="572">
        <v>654</v>
      </c>
      <c r="E55" s="552">
        <v>74150</v>
      </c>
      <c r="F55" s="566" t="s">
        <v>601</v>
      </c>
      <c r="G55" s="387" t="s">
        <v>533</v>
      </c>
      <c r="H55" s="408">
        <v>2792.48</v>
      </c>
      <c r="I55" s="408">
        <v>4880</v>
      </c>
      <c r="J55" s="408">
        <v>4880</v>
      </c>
      <c r="K55" s="408">
        <v>4880</v>
      </c>
      <c r="L55" s="408">
        <v>4880</v>
      </c>
      <c r="M55" s="408">
        <v>4880</v>
      </c>
      <c r="N55" s="408">
        <v>4880</v>
      </c>
      <c r="O55" s="408">
        <v>4880</v>
      </c>
      <c r="P55" s="408">
        <v>4880</v>
      </c>
      <c r="Q55" s="408">
        <v>4880</v>
      </c>
      <c r="R55" s="408">
        <v>4880</v>
      </c>
      <c r="S55" s="408">
        <v>4880</v>
      </c>
      <c r="T55" s="408">
        <v>4880</v>
      </c>
      <c r="U55" s="408">
        <v>4880</v>
      </c>
      <c r="V55" s="408">
        <v>2417.52</v>
      </c>
      <c r="W55" s="408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384">
        <f t="shared" si="3"/>
        <v>0</v>
      </c>
      <c r="AN55" s="374">
        <f t="shared" si="4"/>
        <v>68650</v>
      </c>
      <c r="AO55" s="394"/>
    </row>
    <row r="56" spans="1:41" ht="22.5" customHeight="1">
      <c r="A56" s="538"/>
      <c r="B56" s="391" t="s">
        <v>602</v>
      </c>
      <c r="C56" s="540"/>
      <c r="D56" s="542"/>
      <c r="E56" s="544"/>
      <c r="F56" s="567"/>
      <c r="G56" s="390">
        <v>0.04369</v>
      </c>
      <c r="H56" s="406">
        <v>3055</v>
      </c>
      <c r="I56" s="406">
        <v>2970</v>
      </c>
      <c r="J56" s="406">
        <v>2675</v>
      </c>
      <c r="K56" s="406">
        <v>2245</v>
      </c>
      <c r="L56" s="406">
        <v>2055</v>
      </c>
      <c r="M56" s="406">
        <v>1850</v>
      </c>
      <c r="N56" s="406">
        <v>1655</v>
      </c>
      <c r="O56" s="406">
        <v>1455</v>
      </c>
      <c r="P56" s="406">
        <v>1260</v>
      </c>
      <c r="Q56" s="406">
        <v>1060</v>
      </c>
      <c r="R56" s="406">
        <v>860</v>
      </c>
      <c r="S56" s="406">
        <v>665</v>
      </c>
      <c r="T56" s="406">
        <v>465</v>
      </c>
      <c r="U56" s="406">
        <v>270</v>
      </c>
      <c r="V56" s="406">
        <v>70</v>
      </c>
      <c r="W56" s="409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379">
        <f t="shared" si="3"/>
        <v>0</v>
      </c>
      <c r="AN56" s="308">
        <f t="shared" si="4"/>
        <v>22610</v>
      </c>
      <c r="AO56" s="394"/>
    </row>
    <row r="57" spans="1:41" ht="20.25" customHeight="1">
      <c r="A57" s="537">
        <v>26</v>
      </c>
      <c r="B57" s="323" t="s">
        <v>530</v>
      </c>
      <c r="C57" s="539" t="s">
        <v>603</v>
      </c>
      <c r="D57" s="541">
        <v>655</v>
      </c>
      <c r="E57" s="543">
        <v>250000</v>
      </c>
      <c r="F57" s="566" t="s">
        <v>604</v>
      </c>
      <c r="G57" s="387" t="s">
        <v>533</v>
      </c>
      <c r="H57" s="408">
        <v>0</v>
      </c>
      <c r="I57" s="408">
        <v>6220</v>
      </c>
      <c r="J57" s="408">
        <v>18864</v>
      </c>
      <c r="K57" s="408">
        <v>18864</v>
      </c>
      <c r="L57" s="408">
        <v>18864</v>
      </c>
      <c r="M57" s="408">
        <v>18864</v>
      </c>
      <c r="N57" s="408">
        <v>18864</v>
      </c>
      <c r="O57" s="408">
        <v>18864</v>
      </c>
      <c r="P57" s="408">
        <v>18864</v>
      </c>
      <c r="Q57" s="408">
        <v>18864</v>
      </c>
      <c r="R57" s="408">
        <v>18864</v>
      </c>
      <c r="S57" s="408">
        <v>18864</v>
      </c>
      <c r="T57" s="408">
        <v>18864</v>
      </c>
      <c r="U57" s="408">
        <v>18864</v>
      </c>
      <c r="V57" s="408">
        <v>14112</v>
      </c>
      <c r="W57" s="408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384">
        <f t="shared" si="3"/>
        <v>0</v>
      </c>
      <c r="AN57" s="374">
        <f t="shared" si="4"/>
        <v>246700</v>
      </c>
      <c r="AO57" s="394"/>
    </row>
    <row r="58" spans="1:41" ht="20.25" customHeight="1">
      <c r="A58" s="538"/>
      <c r="B58" s="391" t="s">
        <v>605</v>
      </c>
      <c r="C58" s="540"/>
      <c r="D58" s="542"/>
      <c r="E58" s="544"/>
      <c r="F58" s="567"/>
      <c r="G58" s="390">
        <v>0.04369</v>
      </c>
      <c r="H58" s="406">
        <v>11050</v>
      </c>
      <c r="I58" s="406">
        <v>11200</v>
      </c>
      <c r="J58" s="406">
        <v>10515</v>
      </c>
      <c r="K58" s="406">
        <v>8870</v>
      </c>
      <c r="L58" s="406">
        <v>8130</v>
      </c>
      <c r="M58" s="406">
        <v>7340</v>
      </c>
      <c r="N58" s="406">
        <v>6575</v>
      </c>
      <c r="O58" s="406">
        <v>5810</v>
      </c>
      <c r="P58" s="406">
        <v>5060</v>
      </c>
      <c r="Q58" s="406">
        <v>4280</v>
      </c>
      <c r="R58" s="406">
        <v>3515</v>
      </c>
      <c r="S58" s="406">
        <v>2750</v>
      </c>
      <c r="T58" s="406">
        <v>1995</v>
      </c>
      <c r="U58" s="406">
        <v>1220</v>
      </c>
      <c r="V58" s="406">
        <v>455</v>
      </c>
      <c r="W58" s="409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379">
        <f t="shared" si="3"/>
        <v>0</v>
      </c>
      <c r="AN58" s="308">
        <f t="shared" si="4"/>
        <v>88765</v>
      </c>
      <c r="AO58" s="394"/>
    </row>
    <row r="59" spans="1:41" ht="23.25" customHeight="1">
      <c r="A59" s="537">
        <v>27</v>
      </c>
      <c r="B59" s="323" t="s">
        <v>530</v>
      </c>
      <c r="C59" s="539" t="s">
        <v>606</v>
      </c>
      <c r="D59" s="541">
        <v>656</v>
      </c>
      <c r="E59" s="543">
        <v>4203541</v>
      </c>
      <c r="F59" s="566" t="s">
        <v>607</v>
      </c>
      <c r="G59" s="387" t="s">
        <v>533</v>
      </c>
      <c r="H59" s="427">
        <v>0</v>
      </c>
      <c r="I59" s="427">
        <v>10220</v>
      </c>
      <c r="J59" s="427">
        <v>20220</v>
      </c>
      <c r="K59" s="427">
        <v>50220</v>
      </c>
      <c r="L59" s="427">
        <v>62220</v>
      </c>
      <c r="M59" s="427">
        <v>80220</v>
      </c>
      <c r="N59" s="427">
        <v>223760</v>
      </c>
      <c r="O59" s="427">
        <v>223760</v>
      </c>
      <c r="P59" s="427">
        <v>223760</v>
      </c>
      <c r="Q59" s="427">
        <v>223760</v>
      </c>
      <c r="R59" s="427">
        <v>223760</v>
      </c>
      <c r="S59" s="427">
        <v>223760</v>
      </c>
      <c r="T59" s="427">
        <v>223760</v>
      </c>
      <c r="U59" s="427">
        <v>223760</v>
      </c>
      <c r="V59" s="427">
        <v>223760</v>
      </c>
      <c r="W59" s="427">
        <v>223760</v>
      </c>
      <c r="X59" s="427">
        <v>223760</v>
      </c>
      <c r="Y59" s="427">
        <v>223760</v>
      </c>
      <c r="Z59" s="427">
        <v>223760</v>
      </c>
      <c r="AA59" s="427">
        <v>223760</v>
      </c>
      <c r="AB59" s="427">
        <v>223760</v>
      </c>
      <c r="AC59" s="427">
        <v>223760</v>
      </c>
      <c r="AD59" s="427">
        <v>223760</v>
      </c>
      <c r="AE59" s="427">
        <v>167771</v>
      </c>
      <c r="AF59" s="407"/>
      <c r="AG59" s="407"/>
      <c r="AH59" s="407"/>
      <c r="AI59" s="407"/>
      <c r="AJ59" s="407"/>
      <c r="AK59" s="407"/>
      <c r="AL59" s="407"/>
      <c r="AM59" s="384">
        <f t="shared" si="3"/>
        <v>839051</v>
      </c>
      <c r="AN59" s="374">
        <f t="shared" si="4"/>
        <v>4194791</v>
      </c>
      <c r="AO59" s="394"/>
    </row>
    <row r="60" spans="1:41" ht="23.25" customHeight="1">
      <c r="A60" s="538"/>
      <c r="B60" s="391" t="s">
        <v>608</v>
      </c>
      <c r="C60" s="540"/>
      <c r="D60" s="542"/>
      <c r="E60" s="544"/>
      <c r="F60" s="567"/>
      <c r="G60" s="390">
        <v>0.04395</v>
      </c>
      <c r="H60" s="425">
        <v>184370</v>
      </c>
      <c r="I60" s="425">
        <v>191290</v>
      </c>
      <c r="J60" s="425">
        <v>190755</v>
      </c>
      <c r="K60" s="425">
        <v>168510</v>
      </c>
      <c r="L60" s="425">
        <v>166895</v>
      </c>
      <c r="M60" s="425">
        <v>163790</v>
      </c>
      <c r="N60" s="425">
        <v>159355</v>
      </c>
      <c r="O60" s="425">
        <v>150605</v>
      </c>
      <c r="P60" s="425">
        <v>141920</v>
      </c>
      <c r="Q60" s="425">
        <v>132455</v>
      </c>
      <c r="R60" s="425">
        <v>123380</v>
      </c>
      <c r="S60" s="425">
        <v>114305</v>
      </c>
      <c r="T60" s="406">
        <v>105520</v>
      </c>
      <c r="U60" s="406">
        <v>96155</v>
      </c>
      <c r="V60" s="406">
        <v>87080</v>
      </c>
      <c r="W60" s="406">
        <v>78005</v>
      </c>
      <c r="X60" s="405">
        <v>69125</v>
      </c>
      <c r="Y60" s="405">
        <v>59855</v>
      </c>
      <c r="Z60" s="405">
        <v>50780</v>
      </c>
      <c r="AA60" s="405">
        <v>41705</v>
      </c>
      <c r="AB60" s="405">
        <v>32725</v>
      </c>
      <c r="AC60" s="405">
        <v>23555</v>
      </c>
      <c r="AD60" s="405">
        <v>14485</v>
      </c>
      <c r="AE60" s="405">
        <v>5410</v>
      </c>
      <c r="AF60" s="404"/>
      <c r="AG60" s="404"/>
      <c r="AH60" s="404"/>
      <c r="AI60" s="404"/>
      <c r="AJ60" s="404"/>
      <c r="AK60" s="404"/>
      <c r="AL60" s="404"/>
      <c r="AM60" s="379">
        <f t="shared" si="3"/>
        <v>76175</v>
      </c>
      <c r="AN60" s="308">
        <f t="shared" si="4"/>
        <v>2552030</v>
      </c>
      <c r="AO60" s="394"/>
    </row>
    <row r="61" spans="1:41" ht="24.75" customHeight="1">
      <c r="A61" s="537">
        <v>28</v>
      </c>
      <c r="B61" s="323" t="s">
        <v>530</v>
      </c>
      <c r="C61" s="539" t="s">
        <v>1001</v>
      </c>
      <c r="D61" s="541">
        <v>657</v>
      </c>
      <c r="E61" s="562">
        <v>546548</v>
      </c>
      <c r="F61" s="566" t="s">
        <v>609</v>
      </c>
      <c r="G61" s="387" t="s">
        <v>533</v>
      </c>
      <c r="H61" s="408">
        <v>66365.18</v>
      </c>
      <c r="I61" s="408">
        <v>69208</v>
      </c>
      <c r="J61" s="408">
        <v>69208</v>
      </c>
      <c r="K61" s="408">
        <v>69208</v>
      </c>
      <c r="L61" s="408">
        <v>51895.48</v>
      </c>
      <c r="M61" s="408"/>
      <c r="N61" s="408"/>
      <c r="O61" s="408"/>
      <c r="P61" s="408"/>
      <c r="Q61" s="427"/>
      <c r="R61" s="427"/>
      <c r="S61" s="427"/>
      <c r="T61" s="427"/>
      <c r="U61" s="427"/>
      <c r="V61" s="427"/>
      <c r="W61" s="427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  <c r="AL61" s="426"/>
      <c r="AM61" s="384">
        <f t="shared" si="3"/>
        <v>0</v>
      </c>
      <c r="AN61" s="374">
        <f t="shared" si="4"/>
        <v>325884.66</v>
      </c>
      <c r="AO61" s="394"/>
    </row>
    <row r="62" spans="1:41" ht="24.75" customHeight="1">
      <c r="A62" s="538"/>
      <c r="B62" s="391" t="s">
        <v>610</v>
      </c>
      <c r="C62" s="540"/>
      <c r="D62" s="542"/>
      <c r="E62" s="563"/>
      <c r="F62" s="567"/>
      <c r="G62" s="390">
        <v>0.04242</v>
      </c>
      <c r="H62" s="406">
        <v>12725</v>
      </c>
      <c r="I62" s="406">
        <v>10845</v>
      </c>
      <c r="J62" s="406">
        <v>7835</v>
      </c>
      <c r="K62" s="406">
        <v>4480</v>
      </c>
      <c r="L62" s="406">
        <v>1680</v>
      </c>
      <c r="M62" s="409"/>
      <c r="N62" s="409"/>
      <c r="O62" s="409"/>
      <c r="P62" s="409"/>
      <c r="Q62" s="428"/>
      <c r="R62" s="428"/>
      <c r="S62" s="428"/>
      <c r="T62" s="428"/>
      <c r="U62" s="428"/>
      <c r="V62" s="428"/>
      <c r="W62" s="428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379">
        <f t="shared" si="3"/>
        <v>0</v>
      </c>
      <c r="AN62" s="308">
        <f t="shared" si="4"/>
        <v>37565</v>
      </c>
      <c r="AO62" s="394"/>
    </row>
    <row r="63" spans="1:41" ht="19.5" customHeight="1">
      <c r="A63" s="537">
        <v>29</v>
      </c>
      <c r="B63" s="323" t="s">
        <v>530</v>
      </c>
      <c r="C63" s="539" t="s">
        <v>611</v>
      </c>
      <c r="D63" s="541">
        <v>658</v>
      </c>
      <c r="E63" s="543">
        <f>149917-0.42</f>
        <v>149916.58</v>
      </c>
      <c r="F63" s="566" t="s">
        <v>612</v>
      </c>
      <c r="G63" s="387" t="s">
        <v>533</v>
      </c>
      <c r="H63" s="408">
        <v>0</v>
      </c>
      <c r="I63" s="408">
        <v>2148</v>
      </c>
      <c r="J63" s="408">
        <v>11420</v>
      </c>
      <c r="K63" s="408">
        <v>11420</v>
      </c>
      <c r="L63" s="408">
        <v>11420</v>
      </c>
      <c r="M63" s="408">
        <v>11420</v>
      </c>
      <c r="N63" s="408">
        <v>11420</v>
      </c>
      <c r="O63" s="408">
        <v>11420</v>
      </c>
      <c r="P63" s="408">
        <v>11420</v>
      </c>
      <c r="Q63" s="408">
        <v>11420</v>
      </c>
      <c r="R63" s="408">
        <v>11420</v>
      </c>
      <c r="S63" s="408">
        <v>11420</v>
      </c>
      <c r="T63" s="408">
        <v>11420</v>
      </c>
      <c r="U63" s="408">
        <v>11420</v>
      </c>
      <c r="V63" s="408">
        <v>8528.58</v>
      </c>
      <c r="W63" s="408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384">
        <f t="shared" si="3"/>
        <v>0</v>
      </c>
      <c r="AN63" s="374">
        <f t="shared" si="4"/>
        <v>147716.58</v>
      </c>
      <c r="AO63" s="394"/>
    </row>
    <row r="64" spans="1:41" ht="19.5" customHeight="1">
      <c r="A64" s="538"/>
      <c r="B64" s="391" t="s">
        <v>613</v>
      </c>
      <c r="C64" s="540"/>
      <c r="D64" s="542"/>
      <c r="E64" s="544"/>
      <c r="F64" s="567"/>
      <c r="G64" s="390">
        <v>0.04238</v>
      </c>
      <c r="H64" s="406">
        <v>6005</v>
      </c>
      <c r="I64" s="406">
        <v>6425</v>
      </c>
      <c r="J64" s="406">
        <v>6250</v>
      </c>
      <c r="K64" s="406">
        <v>5370</v>
      </c>
      <c r="L64" s="406">
        <v>4920</v>
      </c>
      <c r="M64" s="406">
        <v>4445</v>
      </c>
      <c r="N64" s="406">
        <v>3980</v>
      </c>
      <c r="O64" s="406">
        <v>3520</v>
      </c>
      <c r="P64" s="406">
        <v>3065</v>
      </c>
      <c r="Q64" s="406">
        <v>2595</v>
      </c>
      <c r="R64" s="406">
        <v>2130</v>
      </c>
      <c r="S64" s="406">
        <v>1665</v>
      </c>
      <c r="T64" s="406">
        <v>1205</v>
      </c>
      <c r="U64" s="406">
        <v>740</v>
      </c>
      <c r="V64" s="406">
        <v>280</v>
      </c>
      <c r="W64" s="409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379">
        <f t="shared" si="3"/>
        <v>0</v>
      </c>
      <c r="AN64" s="308">
        <f t="shared" si="4"/>
        <v>52595</v>
      </c>
      <c r="AO64" s="394"/>
    </row>
    <row r="65" spans="1:41" ht="15">
      <c r="A65" s="537">
        <v>30</v>
      </c>
      <c r="B65" s="323" t="s">
        <v>530</v>
      </c>
      <c r="C65" s="539" t="s">
        <v>614</v>
      </c>
      <c r="D65" s="541">
        <v>660</v>
      </c>
      <c r="E65" s="543">
        <f>2825528-170000-458838.25</f>
        <v>2196689.75</v>
      </c>
      <c r="F65" s="566" t="s">
        <v>615</v>
      </c>
      <c r="G65" s="387" t="s">
        <v>533</v>
      </c>
      <c r="H65" s="427">
        <v>0</v>
      </c>
      <c r="I65" s="427">
        <v>5208</v>
      </c>
      <c r="J65" s="427">
        <v>10208</v>
      </c>
      <c r="K65" s="427">
        <v>15208</v>
      </c>
      <c r="L65" s="427">
        <v>92640</v>
      </c>
      <c r="M65" s="427">
        <v>92640</v>
      </c>
      <c r="N65" s="427">
        <v>92640</v>
      </c>
      <c r="O65" s="427">
        <v>92640</v>
      </c>
      <c r="P65" s="427">
        <v>92640</v>
      </c>
      <c r="Q65" s="427">
        <v>92640</v>
      </c>
      <c r="R65" s="427">
        <v>92640</v>
      </c>
      <c r="S65" s="427">
        <v>92640</v>
      </c>
      <c r="T65" s="427">
        <v>92640</v>
      </c>
      <c r="U65" s="427">
        <v>92640</v>
      </c>
      <c r="V65" s="427">
        <v>92640</v>
      </c>
      <c r="W65" s="427">
        <v>92640</v>
      </c>
      <c r="X65" s="427">
        <v>92640</v>
      </c>
      <c r="Y65" s="427">
        <v>92640</v>
      </c>
      <c r="Z65" s="427">
        <v>92640</v>
      </c>
      <c r="AA65" s="427">
        <v>92640</v>
      </c>
      <c r="AB65" s="427">
        <v>92640</v>
      </c>
      <c r="AC65" s="427">
        <v>92640</v>
      </c>
      <c r="AD65" s="427">
        <v>92640</v>
      </c>
      <c r="AE65" s="427">
        <v>92640</v>
      </c>
      <c r="AF65" s="427">
        <v>92640</v>
      </c>
      <c r="AG65" s="426">
        <v>23144</v>
      </c>
      <c r="AH65" s="426"/>
      <c r="AI65" s="426"/>
      <c r="AJ65" s="426"/>
      <c r="AK65" s="426"/>
      <c r="AL65" s="426"/>
      <c r="AM65" s="384">
        <f t="shared" si="3"/>
        <v>486344</v>
      </c>
      <c r="AN65" s="374">
        <f t="shared" si="4"/>
        <v>1999208</v>
      </c>
      <c r="AO65" s="394"/>
    </row>
    <row r="66" spans="1:41" ht="15">
      <c r="A66" s="538"/>
      <c r="B66" s="391" t="s">
        <v>616</v>
      </c>
      <c r="C66" s="540"/>
      <c r="D66" s="542"/>
      <c r="E66" s="544"/>
      <c r="F66" s="567"/>
      <c r="G66" s="390">
        <v>0.0409</v>
      </c>
      <c r="H66" s="425">
        <v>80400</v>
      </c>
      <c r="I66" s="425">
        <v>81970</v>
      </c>
      <c r="J66" s="425">
        <v>80795</v>
      </c>
      <c r="K66" s="425">
        <v>78340</v>
      </c>
      <c r="L66" s="425">
        <v>75340</v>
      </c>
      <c r="M66" s="425">
        <v>71730</v>
      </c>
      <c r="N66" s="425">
        <v>68160</v>
      </c>
      <c r="O66" s="425">
        <v>64590</v>
      </c>
      <c r="P66" s="425">
        <v>61190</v>
      </c>
      <c r="Q66" s="425">
        <v>57450</v>
      </c>
      <c r="R66" s="425">
        <v>53880</v>
      </c>
      <c r="S66" s="425">
        <v>50315</v>
      </c>
      <c r="T66" s="425">
        <v>46875</v>
      </c>
      <c r="U66" s="425">
        <v>43175</v>
      </c>
      <c r="V66" s="425">
        <v>39605</v>
      </c>
      <c r="W66" s="425">
        <v>36035</v>
      </c>
      <c r="X66" s="424">
        <v>32560</v>
      </c>
      <c r="Y66" s="424">
        <v>28900</v>
      </c>
      <c r="Z66" s="424">
        <v>25330</v>
      </c>
      <c r="AA66" s="424">
        <v>21760</v>
      </c>
      <c r="AB66" s="424">
        <v>18240</v>
      </c>
      <c r="AC66" s="424">
        <v>14620</v>
      </c>
      <c r="AD66" s="424">
        <v>11050</v>
      </c>
      <c r="AE66" s="424">
        <v>7485</v>
      </c>
      <c r="AF66" s="424">
        <v>3925</v>
      </c>
      <c r="AG66" s="424">
        <v>620</v>
      </c>
      <c r="AH66" s="423"/>
      <c r="AI66" s="423"/>
      <c r="AJ66" s="423"/>
      <c r="AK66" s="423"/>
      <c r="AL66" s="423"/>
      <c r="AM66" s="379">
        <f t="shared" si="3"/>
        <v>55940</v>
      </c>
      <c r="AN66" s="308">
        <f t="shared" si="4"/>
        <v>1154340</v>
      </c>
      <c r="AO66" s="394"/>
    </row>
    <row r="67" spans="1:41" ht="20.25" customHeight="1">
      <c r="A67" s="537">
        <v>31</v>
      </c>
      <c r="B67" s="323" t="s">
        <v>530</v>
      </c>
      <c r="C67" s="539" t="s">
        <v>617</v>
      </c>
      <c r="D67" s="541">
        <v>661</v>
      </c>
      <c r="E67" s="543">
        <v>1946578</v>
      </c>
      <c r="F67" s="566" t="s">
        <v>618</v>
      </c>
      <c r="G67" s="387" t="s">
        <v>533</v>
      </c>
      <c r="H67" s="408">
        <v>0</v>
      </c>
      <c r="I67" s="408">
        <v>5208</v>
      </c>
      <c r="J67" s="408">
        <v>10208</v>
      </c>
      <c r="K67" s="408">
        <v>15208</v>
      </c>
      <c r="L67" s="408">
        <v>73940</v>
      </c>
      <c r="M67" s="408">
        <v>73940</v>
      </c>
      <c r="N67" s="408">
        <v>73940</v>
      </c>
      <c r="O67" s="408">
        <v>73940</v>
      </c>
      <c r="P67" s="408">
        <v>73940</v>
      </c>
      <c r="Q67" s="408">
        <v>73940</v>
      </c>
      <c r="R67" s="408">
        <v>73940</v>
      </c>
      <c r="S67" s="408">
        <v>73940</v>
      </c>
      <c r="T67" s="408">
        <v>73940</v>
      </c>
      <c r="U67" s="408">
        <v>73940</v>
      </c>
      <c r="V67" s="408">
        <v>73940</v>
      </c>
      <c r="W67" s="408">
        <v>73940</v>
      </c>
      <c r="X67" s="408">
        <v>73940</v>
      </c>
      <c r="Y67" s="408">
        <v>73940</v>
      </c>
      <c r="Z67" s="408">
        <v>73940</v>
      </c>
      <c r="AA67" s="408">
        <v>73940</v>
      </c>
      <c r="AB67" s="408">
        <v>73940</v>
      </c>
      <c r="AC67" s="408">
        <v>73940</v>
      </c>
      <c r="AD67" s="408">
        <v>73940</v>
      </c>
      <c r="AE67" s="408">
        <v>73940</v>
      </c>
      <c r="AF67" s="408">
        <v>73940</v>
      </c>
      <c r="AG67" s="407">
        <v>18468</v>
      </c>
      <c r="AH67" s="407"/>
      <c r="AI67" s="407"/>
      <c r="AJ67" s="407"/>
      <c r="AK67" s="407"/>
      <c r="AL67" s="407"/>
      <c r="AM67" s="384">
        <f t="shared" si="3"/>
        <v>388168</v>
      </c>
      <c r="AN67" s="374">
        <f t="shared" si="4"/>
        <v>1601832</v>
      </c>
      <c r="AO67" s="394"/>
    </row>
    <row r="68" spans="1:41" ht="20.25" customHeight="1">
      <c r="A68" s="538"/>
      <c r="B68" s="391" t="s">
        <v>619</v>
      </c>
      <c r="C68" s="540"/>
      <c r="D68" s="542"/>
      <c r="E68" s="544"/>
      <c r="F68" s="567"/>
      <c r="G68" s="390">
        <v>0.04108</v>
      </c>
      <c r="H68" s="406">
        <v>70105</v>
      </c>
      <c r="I68" s="406">
        <v>68970</v>
      </c>
      <c r="J68" s="406">
        <v>64680</v>
      </c>
      <c r="K68" s="406">
        <v>62630</v>
      </c>
      <c r="L68" s="406">
        <v>60140</v>
      </c>
      <c r="M68" s="406">
        <v>57250</v>
      </c>
      <c r="N68" s="406">
        <v>54400</v>
      </c>
      <c r="O68" s="406">
        <v>51550</v>
      </c>
      <c r="P68" s="406">
        <v>48840</v>
      </c>
      <c r="Q68" s="406">
        <v>45855</v>
      </c>
      <c r="R68" s="406">
        <v>43005</v>
      </c>
      <c r="S68" s="406">
        <v>40155</v>
      </c>
      <c r="T68" s="406">
        <v>37410</v>
      </c>
      <c r="U68" s="406">
        <v>34460</v>
      </c>
      <c r="V68" s="406">
        <v>31610</v>
      </c>
      <c r="W68" s="406">
        <v>28760</v>
      </c>
      <c r="X68" s="405">
        <v>25985</v>
      </c>
      <c r="Y68" s="405">
        <v>23065</v>
      </c>
      <c r="Z68" s="405">
        <v>20215</v>
      </c>
      <c r="AA68" s="405">
        <v>17365</v>
      </c>
      <c r="AB68" s="405">
        <v>14560</v>
      </c>
      <c r="AC68" s="405">
        <v>11670</v>
      </c>
      <c r="AD68" s="405">
        <v>8820</v>
      </c>
      <c r="AE68" s="405">
        <v>5975</v>
      </c>
      <c r="AF68" s="405">
        <v>3135</v>
      </c>
      <c r="AG68" s="405">
        <v>495</v>
      </c>
      <c r="AH68" s="404"/>
      <c r="AI68" s="404"/>
      <c r="AJ68" s="404"/>
      <c r="AK68" s="404"/>
      <c r="AL68" s="404"/>
      <c r="AM68" s="379">
        <f t="shared" si="3"/>
        <v>44655</v>
      </c>
      <c r="AN68" s="308">
        <f t="shared" si="4"/>
        <v>931105</v>
      </c>
      <c r="AO68" s="394"/>
    </row>
    <row r="69" spans="1:41" ht="21.75" customHeight="1">
      <c r="A69" s="537">
        <v>32</v>
      </c>
      <c r="B69" s="323" t="s">
        <v>530</v>
      </c>
      <c r="C69" s="539" t="s">
        <v>620</v>
      </c>
      <c r="D69" s="541">
        <v>662</v>
      </c>
      <c r="E69" s="543">
        <f>2100900-400000-20542</f>
        <v>1680358</v>
      </c>
      <c r="F69" s="566" t="s">
        <v>621</v>
      </c>
      <c r="G69" s="387" t="s">
        <v>533</v>
      </c>
      <c r="H69" s="408">
        <v>0</v>
      </c>
      <c r="I69" s="408">
        <v>20412</v>
      </c>
      <c r="J69" s="408">
        <v>44368</v>
      </c>
      <c r="K69" s="408">
        <v>44368</v>
      </c>
      <c r="L69" s="408">
        <v>44368</v>
      </c>
      <c r="M69" s="408">
        <v>44368</v>
      </c>
      <c r="N69" s="408">
        <v>44368</v>
      </c>
      <c r="O69" s="408">
        <v>44368</v>
      </c>
      <c r="P69" s="408">
        <v>44368</v>
      </c>
      <c r="Q69" s="408">
        <v>44368</v>
      </c>
      <c r="R69" s="408">
        <v>44368</v>
      </c>
      <c r="S69" s="408">
        <v>44368</v>
      </c>
      <c r="T69" s="408">
        <v>44368</v>
      </c>
      <c r="U69" s="408">
        <v>44368</v>
      </c>
      <c r="V69" s="408">
        <v>44368</v>
      </c>
      <c r="W69" s="408">
        <v>44368</v>
      </c>
      <c r="X69" s="408">
        <v>44368</v>
      </c>
      <c r="Y69" s="408">
        <v>44368</v>
      </c>
      <c r="Z69" s="408">
        <v>44368</v>
      </c>
      <c r="AA69" s="408">
        <v>44368</v>
      </c>
      <c r="AB69" s="408">
        <v>44368</v>
      </c>
      <c r="AC69" s="408">
        <v>44368</v>
      </c>
      <c r="AD69" s="408">
        <v>44368</v>
      </c>
      <c r="AE69" s="408">
        <v>44368</v>
      </c>
      <c r="AF69" s="408">
        <v>44368</v>
      </c>
      <c r="AG69" s="408">
        <v>11084</v>
      </c>
      <c r="AH69" s="407"/>
      <c r="AI69" s="407"/>
      <c r="AJ69" s="407"/>
      <c r="AK69" s="407"/>
      <c r="AL69" s="407"/>
      <c r="AM69" s="384">
        <f t="shared" si="3"/>
        <v>232924</v>
      </c>
      <c r="AN69" s="374">
        <f t="shared" si="4"/>
        <v>1051960</v>
      </c>
      <c r="AO69" s="394"/>
    </row>
    <row r="70" spans="1:41" ht="21.75" customHeight="1">
      <c r="A70" s="538"/>
      <c r="B70" s="391" t="s">
        <v>622</v>
      </c>
      <c r="C70" s="540"/>
      <c r="D70" s="542"/>
      <c r="E70" s="544"/>
      <c r="F70" s="567"/>
      <c r="G70" s="390">
        <v>0.04194</v>
      </c>
      <c r="H70" s="406">
        <v>46505</v>
      </c>
      <c r="I70" s="406">
        <v>45150</v>
      </c>
      <c r="J70" s="406">
        <v>41505</v>
      </c>
      <c r="K70" s="406">
        <v>38775</v>
      </c>
      <c r="L70" s="406">
        <v>36165</v>
      </c>
      <c r="M70" s="406">
        <v>34355</v>
      </c>
      <c r="N70" s="406">
        <v>32645</v>
      </c>
      <c r="O70" s="406">
        <v>30935</v>
      </c>
      <c r="P70" s="406">
        <v>29305</v>
      </c>
      <c r="Q70" s="406">
        <v>27515</v>
      </c>
      <c r="R70" s="406">
        <v>25805</v>
      </c>
      <c r="S70" s="406">
        <v>24100</v>
      </c>
      <c r="T70" s="406">
        <v>22450</v>
      </c>
      <c r="U70" s="406">
        <v>20680</v>
      </c>
      <c r="V70" s="406">
        <v>18970</v>
      </c>
      <c r="W70" s="406">
        <v>17260</v>
      </c>
      <c r="X70" s="405">
        <v>15595</v>
      </c>
      <c r="Y70" s="405">
        <v>13840</v>
      </c>
      <c r="Z70" s="405">
        <v>12130</v>
      </c>
      <c r="AA70" s="405">
        <v>10425</v>
      </c>
      <c r="AB70" s="405">
        <v>8740</v>
      </c>
      <c r="AC70" s="405">
        <v>7005</v>
      </c>
      <c r="AD70" s="405">
        <v>5295</v>
      </c>
      <c r="AE70" s="405">
        <v>3585</v>
      </c>
      <c r="AF70" s="405">
        <v>1875</v>
      </c>
      <c r="AG70" s="405">
        <v>295</v>
      </c>
      <c r="AH70" s="404"/>
      <c r="AI70" s="404"/>
      <c r="AJ70" s="404"/>
      <c r="AK70" s="404"/>
      <c r="AL70" s="404"/>
      <c r="AM70" s="379">
        <f t="shared" si="3"/>
        <v>26795</v>
      </c>
      <c r="AN70" s="308">
        <f t="shared" si="4"/>
        <v>570905</v>
      </c>
      <c r="AO70" s="394"/>
    </row>
    <row r="71" spans="1:41" ht="15">
      <c r="A71" s="537">
        <v>33</v>
      </c>
      <c r="B71" s="323" t="s">
        <v>530</v>
      </c>
      <c r="C71" s="539" t="s">
        <v>623</v>
      </c>
      <c r="D71" s="541">
        <v>663</v>
      </c>
      <c r="E71" s="543">
        <f>10367403-84075.7</f>
        <v>10283327.3</v>
      </c>
      <c r="F71" s="566" t="s">
        <v>624</v>
      </c>
      <c r="G71" s="387" t="s">
        <v>533</v>
      </c>
      <c r="H71" s="408">
        <v>0</v>
      </c>
      <c r="I71" s="408">
        <v>20412</v>
      </c>
      <c r="J71" s="408">
        <v>28412</v>
      </c>
      <c r="K71" s="408">
        <v>40412</v>
      </c>
      <c r="L71" s="408">
        <v>80412</v>
      </c>
      <c r="M71" s="408">
        <v>200412</v>
      </c>
      <c r="N71" s="408">
        <v>400412</v>
      </c>
      <c r="O71" s="408">
        <v>520760</v>
      </c>
      <c r="P71" s="408">
        <v>520760</v>
      </c>
      <c r="Q71" s="408">
        <v>520760</v>
      </c>
      <c r="R71" s="408">
        <v>520760</v>
      </c>
      <c r="S71" s="408">
        <v>520760</v>
      </c>
      <c r="T71" s="408">
        <v>520760</v>
      </c>
      <c r="U71" s="408">
        <v>520760</v>
      </c>
      <c r="V71" s="408">
        <v>520760</v>
      </c>
      <c r="W71" s="408">
        <v>520760</v>
      </c>
      <c r="X71" s="408">
        <v>520760</v>
      </c>
      <c r="Y71" s="408">
        <v>520760</v>
      </c>
      <c r="Z71" s="408">
        <v>520760</v>
      </c>
      <c r="AA71" s="408">
        <v>520760</v>
      </c>
      <c r="AB71" s="408">
        <v>520760</v>
      </c>
      <c r="AC71" s="408">
        <v>520760</v>
      </c>
      <c r="AD71" s="408">
        <v>520760</v>
      </c>
      <c r="AE71" s="408">
        <v>520760</v>
      </c>
      <c r="AF71" s="408">
        <v>520760</v>
      </c>
      <c r="AG71" s="408">
        <v>130175</v>
      </c>
      <c r="AH71" s="407"/>
      <c r="AI71" s="407"/>
      <c r="AJ71" s="407"/>
      <c r="AK71" s="407"/>
      <c r="AL71" s="407"/>
      <c r="AM71" s="384">
        <f aca="true" t="shared" si="5" ref="AM71:AM102">SUM(AB71:AL71)</f>
        <v>2733975</v>
      </c>
      <c r="AN71" s="374">
        <f aca="true" t="shared" si="6" ref="AN71:AN102">SUM(H71:AA71)+AM71</f>
        <v>10274327</v>
      </c>
      <c r="AO71" s="394"/>
    </row>
    <row r="72" spans="1:41" ht="15">
      <c r="A72" s="538"/>
      <c r="B72" s="391" t="s">
        <v>625</v>
      </c>
      <c r="C72" s="540"/>
      <c r="D72" s="542"/>
      <c r="E72" s="544"/>
      <c r="F72" s="567"/>
      <c r="G72" s="390">
        <v>0.04397</v>
      </c>
      <c r="H72" s="406">
        <v>462015</v>
      </c>
      <c r="I72" s="406">
        <v>455460</v>
      </c>
      <c r="J72" s="406">
        <v>410425</v>
      </c>
      <c r="K72" s="406">
        <v>393705</v>
      </c>
      <c r="L72" s="406">
        <v>392925</v>
      </c>
      <c r="M72" s="406">
        <v>387865</v>
      </c>
      <c r="N72" s="406">
        <v>378785</v>
      </c>
      <c r="O72" s="406">
        <v>362815</v>
      </c>
      <c r="P72" s="406">
        <v>343955</v>
      </c>
      <c r="Q72" s="406">
        <v>322945</v>
      </c>
      <c r="R72" s="406">
        <v>302880</v>
      </c>
      <c r="S72" s="406">
        <v>282820</v>
      </c>
      <c r="T72" s="406">
        <v>263485</v>
      </c>
      <c r="U72" s="406">
        <v>242690</v>
      </c>
      <c r="V72" s="406">
        <v>222625</v>
      </c>
      <c r="W72" s="406">
        <v>202565</v>
      </c>
      <c r="X72" s="405">
        <v>183010</v>
      </c>
      <c r="Y72" s="405">
        <v>162435</v>
      </c>
      <c r="Z72" s="405">
        <v>142370</v>
      </c>
      <c r="AA72" s="405">
        <v>122310</v>
      </c>
      <c r="AB72" s="405">
        <v>102535</v>
      </c>
      <c r="AC72" s="405">
        <v>82180</v>
      </c>
      <c r="AD72" s="405">
        <v>62115</v>
      </c>
      <c r="AE72" s="405">
        <v>42055</v>
      </c>
      <c r="AF72" s="405">
        <v>22060</v>
      </c>
      <c r="AG72" s="405">
        <v>3465</v>
      </c>
      <c r="AH72" s="404"/>
      <c r="AI72" s="404"/>
      <c r="AJ72" s="404"/>
      <c r="AK72" s="404"/>
      <c r="AL72" s="404"/>
      <c r="AM72" s="379">
        <f t="shared" si="5"/>
        <v>314410</v>
      </c>
      <c r="AN72" s="308">
        <f t="shared" si="6"/>
        <v>6352495</v>
      </c>
      <c r="AO72" s="394"/>
    </row>
    <row r="73" spans="1:41" ht="15">
      <c r="A73" s="537">
        <v>34</v>
      </c>
      <c r="B73" s="323" t="s">
        <v>530</v>
      </c>
      <c r="C73" s="539" t="s">
        <v>626</v>
      </c>
      <c r="D73" s="573">
        <v>665</v>
      </c>
      <c r="E73" s="543">
        <f>158248.54+2664102</f>
        <v>2822350.54</v>
      </c>
      <c r="F73" s="566" t="s">
        <v>624</v>
      </c>
      <c r="G73" s="387" t="s">
        <v>533</v>
      </c>
      <c r="H73" s="408">
        <v>0</v>
      </c>
      <c r="I73" s="408">
        <v>16332</v>
      </c>
      <c r="J73" s="408">
        <v>32332</v>
      </c>
      <c r="K73" s="408">
        <v>60332</v>
      </c>
      <c r="L73" s="408">
        <v>80332</v>
      </c>
      <c r="M73" s="408">
        <v>94276</v>
      </c>
      <c r="N73" s="408">
        <v>94276</v>
      </c>
      <c r="O73" s="408">
        <v>94276</v>
      </c>
      <c r="P73" s="408">
        <v>94276</v>
      </c>
      <c r="Q73" s="408">
        <v>94276</v>
      </c>
      <c r="R73" s="408">
        <v>94276</v>
      </c>
      <c r="S73" s="408">
        <v>94276</v>
      </c>
      <c r="T73" s="408">
        <v>94276</v>
      </c>
      <c r="U73" s="408">
        <v>94276</v>
      </c>
      <c r="V73" s="408">
        <v>94276</v>
      </c>
      <c r="W73" s="408">
        <v>94276</v>
      </c>
      <c r="X73" s="408">
        <v>94276</v>
      </c>
      <c r="Y73" s="408">
        <v>94276</v>
      </c>
      <c r="Z73" s="408">
        <v>94276</v>
      </c>
      <c r="AA73" s="408">
        <v>94276</v>
      </c>
      <c r="AB73" s="408">
        <v>94276</v>
      </c>
      <c r="AC73" s="408">
        <v>94276</v>
      </c>
      <c r="AD73" s="408">
        <v>94276</v>
      </c>
      <c r="AE73" s="408">
        <v>94276</v>
      </c>
      <c r="AF73" s="408">
        <v>94276</v>
      </c>
      <c r="AG73" s="408">
        <v>23518</v>
      </c>
      <c r="AH73" s="407"/>
      <c r="AI73" s="407"/>
      <c r="AJ73" s="407"/>
      <c r="AK73" s="407"/>
      <c r="AL73" s="407"/>
      <c r="AM73" s="384">
        <f t="shared" si="5"/>
        <v>494898</v>
      </c>
      <c r="AN73" s="374">
        <f t="shared" si="6"/>
        <v>2098366</v>
      </c>
      <c r="AO73" s="394"/>
    </row>
    <row r="74" spans="1:41" ht="15">
      <c r="A74" s="538"/>
      <c r="B74" s="391" t="s">
        <v>627</v>
      </c>
      <c r="C74" s="540"/>
      <c r="D74" s="574"/>
      <c r="E74" s="544"/>
      <c r="F74" s="567"/>
      <c r="G74" s="390">
        <v>0.04397</v>
      </c>
      <c r="H74" s="406">
        <v>94370</v>
      </c>
      <c r="I74" s="406">
        <v>95585</v>
      </c>
      <c r="J74" s="406">
        <v>92090</v>
      </c>
      <c r="K74" s="406">
        <v>82690</v>
      </c>
      <c r="L74" s="406">
        <v>80355</v>
      </c>
      <c r="M74" s="406">
        <v>76805</v>
      </c>
      <c r="N74" s="406">
        <v>73010</v>
      </c>
      <c r="O74" s="406">
        <v>69190</v>
      </c>
      <c r="P74" s="406">
        <v>65545</v>
      </c>
      <c r="Q74" s="406">
        <v>61540</v>
      </c>
      <c r="R74" s="406">
        <v>57720</v>
      </c>
      <c r="S74" s="406">
        <v>53895</v>
      </c>
      <c r="T74" s="406">
        <v>50210</v>
      </c>
      <c r="U74" s="406">
        <v>46250</v>
      </c>
      <c r="V74" s="406">
        <v>42425</v>
      </c>
      <c r="W74" s="406">
        <v>38600</v>
      </c>
      <c r="X74" s="405">
        <v>34875</v>
      </c>
      <c r="Y74" s="405">
        <v>30955</v>
      </c>
      <c r="Z74" s="405">
        <v>27130</v>
      </c>
      <c r="AA74" s="405">
        <v>23310</v>
      </c>
      <c r="AB74" s="405">
        <v>19540</v>
      </c>
      <c r="AC74" s="405">
        <v>15660</v>
      </c>
      <c r="AD74" s="405">
        <v>11835</v>
      </c>
      <c r="AE74" s="405">
        <v>8015</v>
      </c>
      <c r="AF74" s="405">
        <v>4205</v>
      </c>
      <c r="AG74" s="405">
        <v>660</v>
      </c>
      <c r="AH74" s="404"/>
      <c r="AI74" s="404"/>
      <c r="AJ74" s="404"/>
      <c r="AK74" s="404"/>
      <c r="AL74" s="404"/>
      <c r="AM74" s="379">
        <f t="shared" si="5"/>
        <v>59915</v>
      </c>
      <c r="AN74" s="308">
        <f t="shared" si="6"/>
        <v>1256465</v>
      </c>
      <c r="AO74" s="394"/>
    </row>
    <row r="75" spans="1:41" ht="18.75" customHeight="1">
      <c r="A75" s="537">
        <v>35</v>
      </c>
      <c r="B75" s="323" t="s">
        <v>530</v>
      </c>
      <c r="C75" s="539" t="s">
        <v>628</v>
      </c>
      <c r="D75" s="541">
        <v>666</v>
      </c>
      <c r="E75" s="543">
        <f>663930-19547.23</f>
        <v>644382.77</v>
      </c>
      <c r="F75" s="559" t="s">
        <v>624</v>
      </c>
      <c r="G75" s="387" t="s">
        <v>533</v>
      </c>
      <c r="H75" s="408">
        <v>0</v>
      </c>
      <c r="I75" s="408">
        <v>20412</v>
      </c>
      <c r="J75" s="408">
        <v>26452</v>
      </c>
      <c r="K75" s="408">
        <v>26452</v>
      </c>
      <c r="L75" s="408">
        <v>26452</v>
      </c>
      <c r="M75" s="408">
        <v>26452</v>
      </c>
      <c r="N75" s="408">
        <v>26452</v>
      </c>
      <c r="O75" s="408">
        <v>26452</v>
      </c>
      <c r="P75" s="408">
        <v>26452</v>
      </c>
      <c r="Q75" s="408">
        <v>26452</v>
      </c>
      <c r="R75" s="408">
        <v>26452</v>
      </c>
      <c r="S75" s="408">
        <v>26452</v>
      </c>
      <c r="T75" s="408">
        <v>26452</v>
      </c>
      <c r="U75" s="408">
        <v>26452</v>
      </c>
      <c r="V75" s="408">
        <v>26452</v>
      </c>
      <c r="W75" s="408">
        <v>26452</v>
      </c>
      <c r="X75" s="408">
        <v>26452</v>
      </c>
      <c r="Y75" s="408">
        <v>26452</v>
      </c>
      <c r="Z75" s="408">
        <v>26452</v>
      </c>
      <c r="AA75" s="408">
        <v>26452</v>
      </c>
      <c r="AB75" s="408">
        <v>26452</v>
      </c>
      <c r="AC75" s="408">
        <v>26452</v>
      </c>
      <c r="AD75" s="408">
        <v>26452</v>
      </c>
      <c r="AE75" s="408">
        <v>26452</v>
      </c>
      <c r="AF75" s="408">
        <v>26452</v>
      </c>
      <c r="AG75" s="407">
        <v>6574</v>
      </c>
      <c r="AH75" s="407"/>
      <c r="AI75" s="407"/>
      <c r="AJ75" s="407"/>
      <c r="AK75" s="407"/>
      <c r="AL75" s="407"/>
      <c r="AM75" s="384">
        <f t="shared" si="5"/>
        <v>138834</v>
      </c>
      <c r="AN75" s="374">
        <f t="shared" si="6"/>
        <v>635382</v>
      </c>
      <c r="AO75" s="394"/>
    </row>
    <row r="76" spans="1:41" ht="18.75" customHeight="1">
      <c r="A76" s="538"/>
      <c r="B76" s="391" t="s">
        <v>629</v>
      </c>
      <c r="C76" s="540"/>
      <c r="D76" s="542"/>
      <c r="E76" s="544"/>
      <c r="F76" s="560"/>
      <c r="G76" s="390">
        <v>0.04397</v>
      </c>
      <c r="H76" s="406">
        <v>28590</v>
      </c>
      <c r="I76" s="406">
        <v>28795</v>
      </c>
      <c r="J76" s="406">
        <v>27090</v>
      </c>
      <c r="K76" s="406">
        <v>23705</v>
      </c>
      <c r="L76" s="406">
        <v>22695</v>
      </c>
      <c r="M76" s="406">
        <v>21560</v>
      </c>
      <c r="N76" s="406">
        <v>20485</v>
      </c>
      <c r="O76" s="406">
        <v>19415</v>
      </c>
      <c r="P76" s="406">
        <v>18390</v>
      </c>
      <c r="Q76" s="406">
        <v>17270</v>
      </c>
      <c r="R76" s="406">
        <v>16195</v>
      </c>
      <c r="S76" s="406">
        <v>15125</v>
      </c>
      <c r="T76" s="406">
        <v>14090</v>
      </c>
      <c r="U76" s="406">
        <v>12975</v>
      </c>
      <c r="V76" s="406">
        <v>11905</v>
      </c>
      <c r="W76" s="406">
        <v>10830</v>
      </c>
      <c r="X76" s="405">
        <v>9785</v>
      </c>
      <c r="Y76" s="405">
        <v>8685</v>
      </c>
      <c r="Z76" s="405">
        <v>7615</v>
      </c>
      <c r="AA76" s="405">
        <v>6540</v>
      </c>
      <c r="AB76" s="405">
        <v>5485</v>
      </c>
      <c r="AC76" s="405">
        <v>4395</v>
      </c>
      <c r="AD76" s="405">
        <v>3320</v>
      </c>
      <c r="AE76" s="405">
        <v>2250</v>
      </c>
      <c r="AF76" s="405">
        <v>1180</v>
      </c>
      <c r="AG76" s="405">
        <v>185</v>
      </c>
      <c r="AH76" s="404"/>
      <c r="AI76" s="404"/>
      <c r="AJ76" s="404"/>
      <c r="AK76" s="404"/>
      <c r="AL76" s="404"/>
      <c r="AM76" s="379">
        <f t="shared" si="5"/>
        <v>16815</v>
      </c>
      <c r="AN76" s="308">
        <f t="shared" si="6"/>
        <v>358555</v>
      </c>
      <c r="AO76" s="394"/>
    </row>
    <row r="77" spans="1:41" ht="15">
      <c r="A77" s="537">
        <v>36</v>
      </c>
      <c r="B77" s="323" t="s">
        <v>530</v>
      </c>
      <c r="C77" s="539" t="s">
        <v>630</v>
      </c>
      <c r="D77" s="541">
        <v>668</v>
      </c>
      <c r="E77" s="543">
        <v>352110</v>
      </c>
      <c r="F77" s="559" t="s">
        <v>631</v>
      </c>
      <c r="G77" s="419" t="s">
        <v>533</v>
      </c>
      <c r="H77" s="408">
        <v>11883.4</v>
      </c>
      <c r="I77" s="408">
        <v>20960</v>
      </c>
      <c r="J77" s="408">
        <v>20960</v>
      </c>
      <c r="K77" s="408">
        <v>20960</v>
      </c>
      <c r="L77" s="408">
        <v>20960</v>
      </c>
      <c r="M77" s="408">
        <v>20960</v>
      </c>
      <c r="N77" s="408">
        <v>20960</v>
      </c>
      <c r="O77" s="408">
        <v>20960</v>
      </c>
      <c r="P77" s="408">
        <v>20960</v>
      </c>
      <c r="Q77" s="408">
        <v>20960</v>
      </c>
      <c r="R77" s="408">
        <v>20960</v>
      </c>
      <c r="S77" s="408">
        <v>20960</v>
      </c>
      <c r="T77" s="408">
        <v>20960</v>
      </c>
      <c r="U77" s="408">
        <v>20960</v>
      </c>
      <c r="V77" s="408">
        <v>20960</v>
      </c>
      <c r="W77" s="408">
        <v>20960</v>
      </c>
      <c r="X77" s="408">
        <v>15684.6</v>
      </c>
      <c r="Y77" s="407"/>
      <c r="Z77" s="407"/>
      <c r="AA77" s="407"/>
      <c r="AB77" s="407"/>
      <c r="AC77" s="407"/>
      <c r="AD77" s="407"/>
      <c r="AE77" s="407"/>
      <c r="AF77" s="407"/>
      <c r="AG77" s="407"/>
      <c r="AH77" s="407"/>
      <c r="AI77" s="407"/>
      <c r="AJ77" s="407"/>
      <c r="AK77" s="407"/>
      <c r="AL77" s="407"/>
      <c r="AM77" s="384">
        <f t="shared" si="5"/>
        <v>0</v>
      </c>
      <c r="AN77" s="374">
        <f t="shared" si="6"/>
        <v>341968</v>
      </c>
      <c r="AO77" s="394"/>
    </row>
    <row r="78" spans="1:41" ht="15">
      <c r="A78" s="538"/>
      <c r="B78" s="391" t="s">
        <v>632</v>
      </c>
      <c r="C78" s="540"/>
      <c r="D78" s="542"/>
      <c r="E78" s="544"/>
      <c r="F78" s="560"/>
      <c r="G78" s="390">
        <v>0.0475</v>
      </c>
      <c r="H78" s="406">
        <v>16665</v>
      </c>
      <c r="I78" s="406">
        <v>16545</v>
      </c>
      <c r="J78" s="406">
        <v>14750</v>
      </c>
      <c r="K78" s="406">
        <v>11560</v>
      </c>
      <c r="L78" s="406">
        <v>10740</v>
      </c>
      <c r="M78" s="406">
        <v>9860</v>
      </c>
      <c r="N78" s="406">
        <v>9010</v>
      </c>
      <c r="O78" s="406">
        <v>8160</v>
      </c>
      <c r="P78" s="406">
        <v>7330</v>
      </c>
      <c r="Q78" s="406">
        <v>6460</v>
      </c>
      <c r="R78" s="406">
        <v>5610</v>
      </c>
      <c r="S78" s="406">
        <v>4760</v>
      </c>
      <c r="T78" s="406">
        <v>3920</v>
      </c>
      <c r="U78" s="406">
        <v>3060</v>
      </c>
      <c r="V78" s="406">
        <v>2210</v>
      </c>
      <c r="W78" s="406">
        <v>1360</v>
      </c>
      <c r="X78" s="405">
        <v>510</v>
      </c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379">
        <f t="shared" si="5"/>
        <v>0</v>
      </c>
      <c r="AN78" s="308">
        <f t="shared" si="6"/>
        <v>132510</v>
      </c>
      <c r="AO78" s="394"/>
    </row>
    <row r="79" spans="1:41" ht="15">
      <c r="A79" s="537">
        <v>37</v>
      </c>
      <c r="B79" s="323" t="s">
        <v>530</v>
      </c>
      <c r="C79" s="539" t="s">
        <v>633</v>
      </c>
      <c r="D79" s="541">
        <v>669</v>
      </c>
      <c r="E79" s="543">
        <v>403410</v>
      </c>
      <c r="F79" s="559" t="s">
        <v>631</v>
      </c>
      <c r="G79" s="387" t="s">
        <v>533</v>
      </c>
      <c r="H79" s="408">
        <v>13614.06</v>
      </c>
      <c r="I79" s="408">
        <v>24012</v>
      </c>
      <c r="J79" s="408">
        <v>24012</v>
      </c>
      <c r="K79" s="408">
        <v>24012</v>
      </c>
      <c r="L79" s="408">
        <v>24012</v>
      </c>
      <c r="M79" s="408">
        <v>24012</v>
      </c>
      <c r="N79" s="408">
        <v>24012</v>
      </c>
      <c r="O79" s="408">
        <v>24012</v>
      </c>
      <c r="P79" s="408">
        <v>24012</v>
      </c>
      <c r="Q79" s="408">
        <v>24012</v>
      </c>
      <c r="R79" s="408">
        <v>24012</v>
      </c>
      <c r="S79" s="408">
        <v>24012</v>
      </c>
      <c r="T79" s="408">
        <v>24012</v>
      </c>
      <c r="U79" s="408">
        <v>24012</v>
      </c>
      <c r="V79" s="408">
        <v>24012</v>
      </c>
      <c r="W79" s="408">
        <v>24012</v>
      </c>
      <c r="X79" s="408">
        <v>17954.94</v>
      </c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384">
        <f t="shared" si="5"/>
        <v>0</v>
      </c>
      <c r="AN79" s="374">
        <f t="shared" si="6"/>
        <v>391749</v>
      </c>
      <c r="AO79" s="394"/>
    </row>
    <row r="80" spans="1:41" ht="15">
      <c r="A80" s="538"/>
      <c r="B80" s="391" t="s">
        <v>634</v>
      </c>
      <c r="C80" s="540"/>
      <c r="D80" s="542"/>
      <c r="E80" s="544"/>
      <c r="F80" s="560"/>
      <c r="G80" s="390">
        <v>0.0475</v>
      </c>
      <c r="H80" s="406">
        <v>19090</v>
      </c>
      <c r="I80" s="406">
        <v>18955</v>
      </c>
      <c r="J80" s="406">
        <v>16895</v>
      </c>
      <c r="K80" s="406">
        <v>13240</v>
      </c>
      <c r="L80" s="406">
        <v>12300</v>
      </c>
      <c r="M80" s="406">
        <v>11295</v>
      </c>
      <c r="N80" s="406">
        <v>10320</v>
      </c>
      <c r="O80" s="406">
        <v>9345</v>
      </c>
      <c r="P80" s="406">
        <v>8395</v>
      </c>
      <c r="Q80" s="406">
        <v>7395</v>
      </c>
      <c r="R80" s="406">
        <v>6425</v>
      </c>
      <c r="S80" s="406">
        <v>5450</v>
      </c>
      <c r="T80" s="406">
        <v>4490</v>
      </c>
      <c r="U80" s="406">
        <v>3500</v>
      </c>
      <c r="V80" s="406">
        <v>2530</v>
      </c>
      <c r="W80" s="406">
        <v>1555</v>
      </c>
      <c r="X80" s="405">
        <v>585</v>
      </c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379">
        <f t="shared" si="5"/>
        <v>0</v>
      </c>
      <c r="AN80" s="308">
        <f t="shared" si="6"/>
        <v>151765</v>
      </c>
      <c r="AO80" s="394"/>
    </row>
    <row r="81" spans="1:41" ht="20.25" customHeight="1">
      <c r="A81" s="537">
        <v>38</v>
      </c>
      <c r="B81" s="323" t="s">
        <v>530</v>
      </c>
      <c r="C81" s="539" t="s">
        <v>635</v>
      </c>
      <c r="D81" s="541">
        <v>670</v>
      </c>
      <c r="E81" s="543">
        <f>848543-24.81</f>
        <v>848518.19</v>
      </c>
      <c r="F81" s="559" t="s">
        <v>636</v>
      </c>
      <c r="G81" s="387" t="s">
        <v>533</v>
      </c>
      <c r="H81" s="408">
        <v>0</v>
      </c>
      <c r="I81" s="408">
        <v>4080</v>
      </c>
      <c r="J81" s="408">
        <v>8080</v>
      </c>
      <c r="K81" s="408">
        <v>20080</v>
      </c>
      <c r="L81" s="408">
        <v>22072</v>
      </c>
      <c r="M81" s="408">
        <v>22072</v>
      </c>
      <c r="N81" s="408">
        <v>22072</v>
      </c>
      <c r="O81" s="408">
        <v>22072</v>
      </c>
      <c r="P81" s="408">
        <v>22072</v>
      </c>
      <c r="Q81" s="408">
        <v>22072</v>
      </c>
      <c r="R81" s="408">
        <v>22072</v>
      </c>
      <c r="S81" s="408">
        <v>22072</v>
      </c>
      <c r="T81" s="408">
        <v>22072</v>
      </c>
      <c r="U81" s="408">
        <v>22072</v>
      </c>
      <c r="V81" s="408">
        <v>22072</v>
      </c>
      <c r="W81" s="408">
        <v>22072</v>
      </c>
      <c r="X81" s="408">
        <v>22072</v>
      </c>
      <c r="Y81" s="408">
        <v>22072</v>
      </c>
      <c r="Z81" s="408">
        <v>22072</v>
      </c>
      <c r="AA81" s="408">
        <v>22072</v>
      </c>
      <c r="AB81" s="408">
        <v>22072</v>
      </c>
      <c r="AC81" s="408">
        <v>22072</v>
      </c>
      <c r="AD81" s="408">
        <v>22072</v>
      </c>
      <c r="AE81" s="408">
        <v>22072</v>
      </c>
      <c r="AF81" s="408">
        <v>22072</v>
      </c>
      <c r="AG81" s="408">
        <v>22072</v>
      </c>
      <c r="AH81" s="408">
        <v>10970</v>
      </c>
      <c r="AI81" s="407"/>
      <c r="AJ81" s="407"/>
      <c r="AK81" s="407"/>
      <c r="AL81" s="407"/>
      <c r="AM81" s="384">
        <f t="shared" si="5"/>
        <v>143402</v>
      </c>
      <c r="AN81" s="374">
        <f t="shared" si="6"/>
        <v>528794</v>
      </c>
      <c r="AO81" s="394"/>
    </row>
    <row r="82" spans="1:41" ht="20.25" customHeight="1">
      <c r="A82" s="538"/>
      <c r="B82" s="391" t="s">
        <v>637</v>
      </c>
      <c r="C82" s="540"/>
      <c r="D82" s="542"/>
      <c r="E82" s="544"/>
      <c r="F82" s="560"/>
      <c r="G82" s="390">
        <v>0.05024</v>
      </c>
      <c r="H82" s="406">
        <v>27115</v>
      </c>
      <c r="I82" s="406">
        <v>27165</v>
      </c>
      <c r="J82" s="406">
        <v>25200</v>
      </c>
      <c r="K82" s="406">
        <v>20800</v>
      </c>
      <c r="L82" s="406">
        <v>20055</v>
      </c>
      <c r="M82" s="406">
        <v>19105</v>
      </c>
      <c r="N82" s="406">
        <v>18210</v>
      </c>
      <c r="O82" s="406">
        <v>17315</v>
      </c>
      <c r="P82" s="406">
        <v>16465</v>
      </c>
      <c r="Q82" s="406">
        <v>15525</v>
      </c>
      <c r="R82" s="406">
        <v>14630</v>
      </c>
      <c r="S82" s="406">
        <v>13735</v>
      </c>
      <c r="T82" s="406">
        <v>12875</v>
      </c>
      <c r="U82" s="406">
        <v>11945</v>
      </c>
      <c r="V82" s="406">
        <v>11050</v>
      </c>
      <c r="W82" s="406">
        <v>10155</v>
      </c>
      <c r="X82" s="405">
        <v>9285</v>
      </c>
      <c r="Y82" s="405">
        <v>8365</v>
      </c>
      <c r="Z82" s="405">
        <v>7470</v>
      </c>
      <c r="AA82" s="405">
        <v>6575</v>
      </c>
      <c r="AB82" s="405">
        <v>5695</v>
      </c>
      <c r="AC82" s="405">
        <v>4785</v>
      </c>
      <c r="AD82" s="405">
        <v>3890</v>
      </c>
      <c r="AE82" s="405">
        <v>2995</v>
      </c>
      <c r="AF82" s="405">
        <v>2100</v>
      </c>
      <c r="AG82" s="405">
        <v>1205</v>
      </c>
      <c r="AH82" s="405">
        <v>315</v>
      </c>
      <c r="AI82" s="404"/>
      <c r="AJ82" s="404"/>
      <c r="AK82" s="404"/>
      <c r="AL82" s="404"/>
      <c r="AM82" s="379">
        <f t="shared" si="5"/>
        <v>20985</v>
      </c>
      <c r="AN82" s="308">
        <f t="shared" si="6"/>
        <v>334025</v>
      </c>
      <c r="AO82" s="394"/>
    </row>
    <row r="83" spans="1:41" ht="15">
      <c r="A83" s="537">
        <v>39</v>
      </c>
      <c r="B83" s="323" t="s">
        <v>530</v>
      </c>
      <c r="C83" s="539" t="s">
        <v>638</v>
      </c>
      <c r="D83" s="541">
        <v>671</v>
      </c>
      <c r="E83" s="543">
        <f>1698600+205400</f>
        <v>1904000</v>
      </c>
      <c r="F83" s="559" t="s">
        <v>639</v>
      </c>
      <c r="G83" s="387" t="s">
        <v>533</v>
      </c>
      <c r="H83" s="408">
        <v>0</v>
      </c>
      <c r="I83" s="408">
        <v>10236</v>
      </c>
      <c r="J83" s="408">
        <v>20236</v>
      </c>
      <c r="K83" s="408">
        <v>40236</v>
      </c>
      <c r="L83" s="408">
        <v>60236</v>
      </c>
      <c r="M83" s="408">
        <v>82376</v>
      </c>
      <c r="N83" s="408">
        <v>82376</v>
      </c>
      <c r="O83" s="408">
        <v>82376</v>
      </c>
      <c r="P83" s="408">
        <v>82376</v>
      </c>
      <c r="Q83" s="408">
        <v>82376</v>
      </c>
      <c r="R83" s="408">
        <v>82376</v>
      </c>
      <c r="S83" s="408">
        <v>82376</v>
      </c>
      <c r="T83" s="408">
        <v>82376</v>
      </c>
      <c r="U83" s="408">
        <v>82376</v>
      </c>
      <c r="V83" s="408">
        <v>82376</v>
      </c>
      <c r="W83" s="408">
        <v>82376</v>
      </c>
      <c r="X83" s="408">
        <v>82376</v>
      </c>
      <c r="Y83" s="408">
        <v>82376</v>
      </c>
      <c r="Z83" s="408">
        <v>82376</v>
      </c>
      <c r="AA83" s="408">
        <v>82376</v>
      </c>
      <c r="AB83" s="408">
        <v>82376</v>
      </c>
      <c r="AC83" s="408">
        <v>82376</v>
      </c>
      <c r="AD83" s="408">
        <v>82376</v>
      </c>
      <c r="AE83" s="408">
        <v>82376</v>
      </c>
      <c r="AF83" s="408">
        <v>82376</v>
      </c>
      <c r="AG83" s="408">
        <v>82376</v>
      </c>
      <c r="AH83" s="408">
        <v>41160</v>
      </c>
      <c r="AI83" s="407"/>
      <c r="AJ83" s="407"/>
      <c r="AK83" s="407"/>
      <c r="AL83" s="407"/>
      <c r="AM83" s="384">
        <f t="shared" si="5"/>
        <v>535416</v>
      </c>
      <c r="AN83" s="374">
        <f t="shared" si="6"/>
        <v>1902000</v>
      </c>
      <c r="AO83" s="394"/>
    </row>
    <row r="84" spans="1:41" ht="15">
      <c r="A84" s="538"/>
      <c r="B84" s="391" t="s">
        <v>640</v>
      </c>
      <c r="C84" s="540"/>
      <c r="D84" s="542"/>
      <c r="E84" s="544"/>
      <c r="F84" s="560"/>
      <c r="G84" s="390">
        <v>0.05143</v>
      </c>
      <c r="H84" s="406">
        <v>99375</v>
      </c>
      <c r="I84" s="406">
        <v>96315</v>
      </c>
      <c r="J84" s="406">
        <v>95720</v>
      </c>
      <c r="K84" s="406">
        <v>75605</v>
      </c>
      <c r="L84" s="406">
        <v>74055</v>
      </c>
      <c r="M84" s="406">
        <v>71265</v>
      </c>
      <c r="N84" s="406">
        <v>67975</v>
      </c>
      <c r="O84" s="406">
        <v>64630</v>
      </c>
      <c r="P84" s="406">
        <v>61460</v>
      </c>
      <c r="Q84" s="406">
        <v>57950</v>
      </c>
      <c r="R84" s="406">
        <v>54610</v>
      </c>
      <c r="S84" s="406">
        <v>51270</v>
      </c>
      <c r="T84" s="406">
        <v>48060</v>
      </c>
      <c r="U84" s="406">
        <v>44585</v>
      </c>
      <c r="V84" s="406">
        <v>41245</v>
      </c>
      <c r="W84" s="406">
        <v>37905</v>
      </c>
      <c r="X84" s="405">
        <v>34660</v>
      </c>
      <c r="Y84" s="405">
        <v>31225</v>
      </c>
      <c r="Z84" s="405">
        <v>27885</v>
      </c>
      <c r="AA84" s="405">
        <v>24545</v>
      </c>
      <c r="AB84" s="405">
        <v>21260</v>
      </c>
      <c r="AC84" s="405">
        <v>17860</v>
      </c>
      <c r="AD84" s="405">
        <v>14520</v>
      </c>
      <c r="AE84" s="405">
        <v>11180</v>
      </c>
      <c r="AF84" s="405">
        <v>7840</v>
      </c>
      <c r="AG84" s="405">
        <v>4500</v>
      </c>
      <c r="AH84" s="405">
        <v>1180</v>
      </c>
      <c r="AI84" s="404"/>
      <c r="AJ84" s="404"/>
      <c r="AK84" s="404"/>
      <c r="AL84" s="404"/>
      <c r="AM84" s="379">
        <f t="shared" si="5"/>
        <v>78340</v>
      </c>
      <c r="AN84" s="308">
        <f t="shared" si="6"/>
        <v>1238680</v>
      </c>
      <c r="AO84" s="394"/>
    </row>
    <row r="85" spans="1:41" ht="15">
      <c r="A85" s="537">
        <v>40</v>
      </c>
      <c r="B85" s="323" t="s">
        <v>530</v>
      </c>
      <c r="C85" s="539" t="s">
        <v>641</v>
      </c>
      <c r="D85" s="541">
        <v>672</v>
      </c>
      <c r="E85" s="543">
        <f>142175-5157.95</f>
        <v>137017.05</v>
      </c>
      <c r="F85" s="559" t="s">
        <v>642</v>
      </c>
      <c r="G85" s="419" t="s">
        <v>533</v>
      </c>
      <c r="H85" s="408">
        <v>5855.19</v>
      </c>
      <c r="I85" s="408">
        <v>8080</v>
      </c>
      <c r="J85" s="408">
        <v>8080</v>
      </c>
      <c r="K85" s="408">
        <v>8080</v>
      </c>
      <c r="L85" s="408">
        <v>8080</v>
      </c>
      <c r="M85" s="408">
        <v>8080</v>
      </c>
      <c r="N85" s="408">
        <v>8080</v>
      </c>
      <c r="O85" s="408">
        <v>8080</v>
      </c>
      <c r="P85" s="408">
        <v>8080</v>
      </c>
      <c r="Q85" s="408">
        <v>8080</v>
      </c>
      <c r="R85" s="408">
        <v>8080</v>
      </c>
      <c r="S85" s="408">
        <v>8080</v>
      </c>
      <c r="T85" s="408">
        <v>8080</v>
      </c>
      <c r="U85" s="408">
        <v>8080</v>
      </c>
      <c r="V85" s="408">
        <v>8080</v>
      </c>
      <c r="W85" s="408">
        <v>8080</v>
      </c>
      <c r="X85" s="408">
        <v>6006.81</v>
      </c>
      <c r="Y85" s="407"/>
      <c r="Z85" s="407"/>
      <c r="AA85" s="407"/>
      <c r="AB85" s="407"/>
      <c r="AC85" s="407"/>
      <c r="AD85" s="407"/>
      <c r="AE85" s="407"/>
      <c r="AF85" s="407"/>
      <c r="AG85" s="407"/>
      <c r="AH85" s="407"/>
      <c r="AI85" s="407"/>
      <c r="AJ85" s="407"/>
      <c r="AK85" s="407"/>
      <c r="AL85" s="407"/>
      <c r="AM85" s="384">
        <f t="shared" si="5"/>
        <v>0</v>
      </c>
      <c r="AN85" s="374">
        <f t="shared" si="6"/>
        <v>133062</v>
      </c>
      <c r="AO85" s="394"/>
    </row>
    <row r="86" spans="1:41" ht="15">
      <c r="A86" s="538"/>
      <c r="B86" s="391" t="s">
        <v>643</v>
      </c>
      <c r="C86" s="540"/>
      <c r="D86" s="542"/>
      <c r="E86" s="544"/>
      <c r="F86" s="560"/>
      <c r="G86" s="390">
        <v>0.04915</v>
      </c>
      <c r="H86" s="406">
        <v>6605</v>
      </c>
      <c r="I86" s="406">
        <v>6380</v>
      </c>
      <c r="J86" s="406">
        <v>5980</v>
      </c>
      <c r="K86" s="406">
        <v>4455</v>
      </c>
      <c r="L86" s="406">
        <v>4140</v>
      </c>
      <c r="M86" s="406">
        <v>3800</v>
      </c>
      <c r="N86" s="406">
        <v>3475</v>
      </c>
      <c r="O86" s="406">
        <v>3145</v>
      </c>
      <c r="P86" s="406">
        <v>2825</v>
      </c>
      <c r="Q86" s="406">
        <v>2490</v>
      </c>
      <c r="R86" s="406">
        <v>2160</v>
      </c>
      <c r="S86" s="406">
        <v>1835</v>
      </c>
      <c r="T86" s="406">
        <v>1510</v>
      </c>
      <c r="U86" s="406">
        <v>1180</v>
      </c>
      <c r="V86" s="406">
        <v>850</v>
      </c>
      <c r="W86" s="406">
        <v>525</v>
      </c>
      <c r="X86" s="405">
        <v>195</v>
      </c>
      <c r="Y86" s="404"/>
      <c r="Z86" s="404"/>
      <c r="AA86" s="404"/>
      <c r="AB86" s="404"/>
      <c r="AC86" s="404"/>
      <c r="AD86" s="404"/>
      <c r="AE86" s="404"/>
      <c r="AF86" s="404"/>
      <c r="AG86" s="404"/>
      <c r="AH86" s="404"/>
      <c r="AI86" s="404"/>
      <c r="AJ86" s="404"/>
      <c r="AK86" s="404"/>
      <c r="AL86" s="404"/>
      <c r="AM86" s="379">
        <f t="shared" si="5"/>
        <v>0</v>
      </c>
      <c r="AN86" s="308">
        <f t="shared" si="6"/>
        <v>51550</v>
      </c>
      <c r="AO86" s="394"/>
    </row>
    <row r="87" spans="1:41" ht="15">
      <c r="A87" s="537">
        <v>41</v>
      </c>
      <c r="B87" s="323" t="s">
        <v>530</v>
      </c>
      <c r="C87" s="539" t="s">
        <v>644</v>
      </c>
      <c r="D87" s="541">
        <v>673</v>
      </c>
      <c r="E87" s="543">
        <f>625075-48519.44</f>
        <v>576555.56</v>
      </c>
      <c r="F87" s="559" t="s">
        <v>645</v>
      </c>
      <c r="G87" s="387" t="s">
        <v>533</v>
      </c>
      <c r="H87" s="408">
        <v>0</v>
      </c>
      <c r="I87" s="408">
        <v>10388</v>
      </c>
      <c r="J87" s="408">
        <v>20388</v>
      </c>
      <c r="K87" s="408">
        <v>40280</v>
      </c>
      <c r="L87" s="408">
        <v>40280</v>
      </c>
      <c r="M87" s="408">
        <v>40280</v>
      </c>
      <c r="N87" s="408">
        <v>40280</v>
      </c>
      <c r="O87" s="408">
        <v>40280</v>
      </c>
      <c r="P87" s="408">
        <v>40280</v>
      </c>
      <c r="Q87" s="408">
        <v>40280</v>
      </c>
      <c r="R87" s="408">
        <v>40280</v>
      </c>
      <c r="S87" s="408">
        <v>40280</v>
      </c>
      <c r="T87" s="408">
        <v>40280</v>
      </c>
      <c r="U87" s="408">
        <v>40280</v>
      </c>
      <c r="V87" s="408">
        <v>40280</v>
      </c>
      <c r="W87" s="408">
        <v>40280</v>
      </c>
      <c r="X87" s="408">
        <v>20139</v>
      </c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384">
        <f t="shared" si="5"/>
        <v>0</v>
      </c>
      <c r="AN87" s="374">
        <f t="shared" si="6"/>
        <v>574555</v>
      </c>
      <c r="AO87" s="394"/>
    </row>
    <row r="88" spans="1:41" ht="15">
      <c r="A88" s="538"/>
      <c r="B88" s="391" t="s">
        <v>646</v>
      </c>
      <c r="C88" s="540"/>
      <c r="D88" s="542"/>
      <c r="E88" s="544"/>
      <c r="F88" s="560"/>
      <c r="G88" s="390">
        <v>0.04915</v>
      </c>
      <c r="H88" s="406">
        <v>28695</v>
      </c>
      <c r="I88" s="406">
        <v>29020</v>
      </c>
      <c r="J88" s="406">
        <v>28415</v>
      </c>
      <c r="K88" s="406">
        <v>21760</v>
      </c>
      <c r="L88" s="406">
        <v>20225</v>
      </c>
      <c r="M88" s="406">
        <v>18535</v>
      </c>
      <c r="N88" s="406">
        <v>16905</v>
      </c>
      <c r="O88" s="406">
        <v>15270</v>
      </c>
      <c r="P88" s="406">
        <v>13675</v>
      </c>
      <c r="Q88" s="406">
        <v>12005</v>
      </c>
      <c r="R88" s="406">
        <v>10370</v>
      </c>
      <c r="S88" s="406">
        <v>8735</v>
      </c>
      <c r="T88" s="406">
        <v>7120</v>
      </c>
      <c r="U88" s="406">
        <v>5470</v>
      </c>
      <c r="V88" s="406">
        <v>3835</v>
      </c>
      <c r="W88" s="406">
        <v>2200</v>
      </c>
      <c r="X88" s="405">
        <v>580</v>
      </c>
      <c r="Y88" s="404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4"/>
      <c r="AL88" s="404"/>
      <c r="AM88" s="379">
        <f t="shared" si="5"/>
        <v>0</v>
      </c>
      <c r="AN88" s="308">
        <f t="shared" si="6"/>
        <v>242815</v>
      </c>
      <c r="AO88" s="394"/>
    </row>
    <row r="89" spans="1:41" ht="15">
      <c r="A89" s="537">
        <v>42</v>
      </c>
      <c r="B89" s="323" t="s">
        <v>530</v>
      </c>
      <c r="C89" s="539" t="s">
        <v>647</v>
      </c>
      <c r="D89" s="541">
        <v>675</v>
      </c>
      <c r="E89" s="543">
        <f>223252-340</f>
        <v>222912</v>
      </c>
      <c r="F89" s="566" t="s">
        <v>648</v>
      </c>
      <c r="G89" s="387" t="s">
        <v>533</v>
      </c>
      <c r="H89" s="408">
        <v>9860.52</v>
      </c>
      <c r="I89" s="408">
        <v>13116</v>
      </c>
      <c r="J89" s="408">
        <v>13116</v>
      </c>
      <c r="K89" s="408">
        <v>13116</v>
      </c>
      <c r="L89" s="408">
        <v>13116</v>
      </c>
      <c r="M89" s="408">
        <v>13116</v>
      </c>
      <c r="N89" s="408">
        <v>13116</v>
      </c>
      <c r="O89" s="408">
        <v>13116</v>
      </c>
      <c r="P89" s="408">
        <v>13116</v>
      </c>
      <c r="Q89" s="408">
        <v>13116</v>
      </c>
      <c r="R89" s="408">
        <v>13116</v>
      </c>
      <c r="S89" s="408">
        <v>13116</v>
      </c>
      <c r="T89" s="408">
        <v>13116</v>
      </c>
      <c r="U89" s="408">
        <v>13116</v>
      </c>
      <c r="V89" s="408">
        <v>13116</v>
      </c>
      <c r="W89" s="408">
        <v>13116</v>
      </c>
      <c r="X89" s="408">
        <v>13107.48</v>
      </c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384">
        <f t="shared" si="5"/>
        <v>0</v>
      </c>
      <c r="AN89" s="374">
        <f t="shared" si="6"/>
        <v>219708.00000000003</v>
      </c>
      <c r="AO89" s="394"/>
    </row>
    <row r="90" spans="1:41" ht="15">
      <c r="A90" s="538"/>
      <c r="B90" s="391" t="s">
        <v>649</v>
      </c>
      <c r="C90" s="540"/>
      <c r="D90" s="542"/>
      <c r="E90" s="544"/>
      <c r="F90" s="567"/>
      <c r="G90" s="390">
        <v>0.04527</v>
      </c>
      <c r="H90" s="406">
        <v>9620</v>
      </c>
      <c r="I90" s="406">
        <v>9685</v>
      </c>
      <c r="J90" s="406">
        <v>9085</v>
      </c>
      <c r="K90" s="406">
        <v>7365</v>
      </c>
      <c r="L90" s="406">
        <v>6855</v>
      </c>
      <c r="M90" s="406">
        <v>6305</v>
      </c>
      <c r="N90" s="406">
        <v>5770</v>
      </c>
      <c r="O90" s="406">
        <v>5240</v>
      </c>
      <c r="P90" s="406">
        <v>4720</v>
      </c>
      <c r="Q90" s="406">
        <v>4175</v>
      </c>
      <c r="R90" s="406">
        <v>3645</v>
      </c>
      <c r="S90" s="406">
        <v>3110</v>
      </c>
      <c r="T90" s="406">
        <v>2585</v>
      </c>
      <c r="U90" s="406">
        <v>2050</v>
      </c>
      <c r="V90" s="406">
        <v>1515</v>
      </c>
      <c r="W90" s="406">
        <v>985</v>
      </c>
      <c r="X90" s="405">
        <v>455</v>
      </c>
      <c r="Y90" s="405">
        <v>30</v>
      </c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379">
        <f t="shared" si="5"/>
        <v>0</v>
      </c>
      <c r="AN90" s="308">
        <f t="shared" si="6"/>
        <v>83195</v>
      </c>
      <c r="AO90" s="394"/>
    </row>
    <row r="91" spans="1:41" ht="15">
      <c r="A91" s="537">
        <v>43</v>
      </c>
      <c r="B91" s="323" t="s">
        <v>530</v>
      </c>
      <c r="C91" s="539" t="s">
        <v>336</v>
      </c>
      <c r="D91" s="541">
        <v>676</v>
      </c>
      <c r="E91" s="543">
        <v>4607144</v>
      </c>
      <c r="F91" s="566" t="s">
        <v>650</v>
      </c>
      <c r="G91" s="387" t="s">
        <v>533</v>
      </c>
      <c r="H91" s="408">
        <v>0</v>
      </c>
      <c r="I91" s="408">
        <v>10228</v>
      </c>
      <c r="J91" s="408">
        <v>20228</v>
      </c>
      <c r="K91" s="408">
        <v>40228</v>
      </c>
      <c r="L91" s="408">
        <v>100228</v>
      </c>
      <c r="M91" s="408">
        <v>199380</v>
      </c>
      <c r="N91" s="408">
        <v>199380</v>
      </c>
      <c r="O91" s="408">
        <v>199380</v>
      </c>
      <c r="P91" s="408">
        <v>199380</v>
      </c>
      <c r="Q91" s="408">
        <v>199380</v>
      </c>
      <c r="R91" s="408">
        <v>199380</v>
      </c>
      <c r="S91" s="408">
        <v>199380</v>
      </c>
      <c r="T91" s="408">
        <v>199380</v>
      </c>
      <c r="U91" s="408">
        <v>199380</v>
      </c>
      <c r="V91" s="408">
        <v>199380</v>
      </c>
      <c r="W91" s="408">
        <v>199380</v>
      </c>
      <c r="X91" s="408">
        <v>199380</v>
      </c>
      <c r="Y91" s="408">
        <v>199380</v>
      </c>
      <c r="Z91" s="408">
        <v>199380</v>
      </c>
      <c r="AA91" s="408">
        <v>199380</v>
      </c>
      <c r="AB91" s="408">
        <v>199380</v>
      </c>
      <c r="AC91" s="408">
        <v>199380</v>
      </c>
      <c r="AD91" s="408">
        <v>199380</v>
      </c>
      <c r="AE91" s="408">
        <v>199380</v>
      </c>
      <c r="AF91" s="408">
        <v>199380</v>
      </c>
      <c r="AG91" s="408">
        <v>199380</v>
      </c>
      <c r="AH91" s="408">
        <v>199380</v>
      </c>
      <c r="AI91" s="408">
        <v>49872</v>
      </c>
      <c r="AJ91" s="407"/>
      <c r="AK91" s="407"/>
      <c r="AL91" s="407"/>
      <c r="AM91" s="384">
        <f t="shared" si="5"/>
        <v>1445532</v>
      </c>
      <c r="AN91" s="374">
        <f t="shared" si="6"/>
        <v>4607144</v>
      </c>
      <c r="AO91" s="394"/>
    </row>
    <row r="92" spans="1:41" ht="15">
      <c r="A92" s="538"/>
      <c r="B92" s="391" t="s">
        <v>651</v>
      </c>
      <c r="C92" s="540"/>
      <c r="D92" s="542"/>
      <c r="E92" s="544"/>
      <c r="F92" s="567"/>
      <c r="G92" s="390">
        <v>0.04281</v>
      </c>
      <c r="H92" s="406">
        <v>198695</v>
      </c>
      <c r="I92" s="406">
        <v>197985</v>
      </c>
      <c r="J92" s="406">
        <v>195600</v>
      </c>
      <c r="K92" s="406">
        <v>189945</v>
      </c>
      <c r="L92" s="406">
        <v>183725</v>
      </c>
      <c r="M92" s="406">
        <v>178445</v>
      </c>
      <c r="N92" s="406">
        <v>170585</v>
      </c>
      <c r="O92" s="406">
        <v>162500</v>
      </c>
      <c r="P92" s="406">
        <v>154840</v>
      </c>
      <c r="Q92" s="406">
        <v>146325</v>
      </c>
      <c r="R92" s="406">
        <v>138240</v>
      </c>
      <c r="S92" s="406">
        <v>130155</v>
      </c>
      <c r="T92" s="406">
        <v>122405</v>
      </c>
      <c r="U92" s="406">
        <v>113985</v>
      </c>
      <c r="V92" s="406">
        <v>105895</v>
      </c>
      <c r="W92" s="406">
        <v>97810</v>
      </c>
      <c r="X92" s="405">
        <v>89975</v>
      </c>
      <c r="Y92" s="405">
        <v>81640</v>
      </c>
      <c r="Z92" s="405">
        <v>73555</v>
      </c>
      <c r="AA92" s="405">
        <v>65470</v>
      </c>
      <c r="AB92" s="405">
        <v>57540</v>
      </c>
      <c r="AC92" s="405">
        <v>49295</v>
      </c>
      <c r="AD92" s="405">
        <v>41210</v>
      </c>
      <c r="AE92" s="405">
        <v>33125</v>
      </c>
      <c r="AF92" s="405">
        <v>25110</v>
      </c>
      <c r="AG92" s="405">
        <v>16950</v>
      </c>
      <c r="AH92" s="405">
        <v>8865</v>
      </c>
      <c r="AI92" s="405">
        <v>1400</v>
      </c>
      <c r="AJ92" s="404"/>
      <c r="AK92" s="404"/>
      <c r="AL92" s="404"/>
      <c r="AM92" s="379">
        <f t="shared" si="5"/>
        <v>233495</v>
      </c>
      <c r="AN92" s="308">
        <f t="shared" si="6"/>
        <v>3031270</v>
      </c>
      <c r="AO92" s="394"/>
    </row>
    <row r="93" spans="1:41" ht="15">
      <c r="A93" s="537">
        <v>44</v>
      </c>
      <c r="B93" s="323" t="s">
        <v>530</v>
      </c>
      <c r="C93" s="539" t="s">
        <v>652</v>
      </c>
      <c r="D93" s="541">
        <v>678</v>
      </c>
      <c r="E93" s="543">
        <f>1073828+53126-7158.22</f>
        <v>1119795.78</v>
      </c>
      <c r="F93" s="566" t="s">
        <v>653</v>
      </c>
      <c r="G93" s="387" t="s">
        <v>533</v>
      </c>
      <c r="H93" s="408">
        <v>0</v>
      </c>
      <c r="I93" s="408">
        <v>10192</v>
      </c>
      <c r="J93" s="408">
        <v>20192</v>
      </c>
      <c r="K93" s="408">
        <v>42460</v>
      </c>
      <c r="L93" s="408">
        <v>42460</v>
      </c>
      <c r="M93" s="408">
        <v>42460</v>
      </c>
      <c r="N93" s="408">
        <v>42460</v>
      </c>
      <c r="O93" s="408">
        <v>42460</v>
      </c>
      <c r="P93" s="408">
        <v>42460</v>
      </c>
      <c r="Q93" s="408">
        <v>42460</v>
      </c>
      <c r="R93" s="408">
        <v>42460</v>
      </c>
      <c r="S93" s="408">
        <v>42460</v>
      </c>
      <c r="T93" s="408">
        <v>42460</v>
      </c>
      <c r="U93" s="408">
        <v>42460</v>
      </c>
      <c r="V93" s="408">
        <v>42460</v>
      </c>
      <c r="W93" s="408">
        <v>42460</v>
      </c>
      <c r="X93" s="408">
        <v>42460</v>
      </c>
      <c r="Y93" s="408">
        <v>42460</v>
      </c>
      <c r="Z93" s="408">
        <v>42460</v>
      </c>
      <c r="AA93" s="408">
        <v>42460</v>
      </c>
      <c r="AB93" s="408">
        <v>42460</v>
      </c>
      <c r="AC93" s="408">
        <v>42460</v>
      </c>
      <c r="AD93" s="408">
        <v>42460</v>
      </c>
      <c r="AE93" s="408">
        <v>42460</v>
      </c>
      <c r="AF93" s="408">
        <v>42460</v>
      </c>
      <c r="AG93" s="408">
        <v>42460</v>
      </c>
      <c r="AH93" s="408">
        <v>42460</v>
      </c>
      <c r="AI93" s="408">
        <v>10491.21</v>
      </c>
      <c r="AJ93" s="407"/>
      <c r="AK93" s="407"/>
      <c r="AL93" s="407"/>
      <c r="AM93" s="384">
        <f t="shared" si="5"/>
        <v>307711.21</v>
      </c>
      <c r="AN93" s="374">
        <f t="shared" si="6"/>
        <v>1059915.21</v>
      </c>
      <c r="AO93" s="394"/>
    </row>
    <row r="94" spans="1:41" ht="15">
      <c r="A94" s="538"/>
      <c r="B94" s="416" t="s">
        <v>654</v>
      </c>
      <c r="C94" s="540"/>
      <c r="D94" s="542"/>
      <c r="E94" s="544"/>
      <c r="F94" s="567"/>
      <c r="G94" s="390">
        <v>0.04564</v>
      </c>
      <c r="H94" s="406">
        <v>48840</v>
      </c>
      <c r="I94" s="406">
        <v>46655</v>
      </c>
      <c r="J94" s="406">
        <v>44545</v>
      </c>
      <c r="K94" s="406">
        <v>42485</v>
      </c>
      <c r="L94" s="406">
        <v>39880</v>
      </c>
      <c r="M94" s="406">
        <v>38045</v>
      </c>
      <c r="N94" s="406">
        <v>36325</v>
      </c>
      <c r="O94" s="406">
        <v>34600</v>
      </c>
      <c r="P94" s="406">
        <v>32970</v>
      </c>
      <c r="Q94" s="406">
        <v>31160</v>
      </c>
      <c r="R94" s="406">
        <v>29435</v>
      </c>
      <c r="S94" s="406">
        <v>27715</v>
      </c>
      <c r="T94" s="406">
        <v>26065</v>
      </c>
      <c r="U94" s="406">
        <v>24270</v>
      </c>
      <c r="V94" s="406">
        <v>22550</v>
      </c>
      <c r="W94" s="406">
        <v>20825</v>
      </c>
      <c r="X94" s="405">
        <v>19160</v>
      </c>
      <c r="Y94" s="405">
        <v>17380</v>
      </c>
      <c r="Z94" s="405">
        <v>15660</v>
      </c>
      <c r="AA94" s="405">
        <v>13940</v>
      </c>
      <c r="AB94" s="405">
        <v>12250</v>
      </c>
      <c r="AC94" s="405">
        <v>10495</v>
      </c>
      <c r="AD94" s="405">
        <v>8775</v>
      </c>
      <c r="AE94" s="405">
        <v>7050</v>
      </c>
      <c r="AF94" s="405">
        <v>5345</v>
      </c>
      <c r="AG94" s="405">
        <v>3605</v>
      </c>
      <c r="AH94" s="405">
        <v>1885</v>
      </c>
      <c r="AI94" s="405">
        <v>295</v>
      </c>
      <c r="AJ94" s="404"/>
      <c r="AK94" s="404"/>
      <c r="AL94" s="404"/>
      <c r="AM94" s="379">
        <f t="shared" si="5"/>
        <v>49700</v>
      </c>
      <c r="AN94" s="308">
        <f t="shared" si="6"/>
        <v>662205</v>
      </c>
      <c r="AO94" s="394"/>
    </row>
    <row r="95" spans="1:41" ht="15">
      <c r="A95" s="537">
        <v>45</v>
      </c>
      <c r="B95" s="323" t="s">
        <v>530</v>
      </c>
      <c r="C95" s="539" t="s">
        <v>655</v>
      </c>
      <c r="D95" s="541">
        <v>679</v>
      </c>
      <c r="E95" s="543">
        <v>1144390</v>
      </c>
      <c r="F95" s="566" t="s">
        <v>656</v>
      </c>
      <c r="G95" s="387" t="s">
        <v>533</v>
      </c>
      <c r="H95" s="408">
        <v>0</v>
      </c>
      <c r="I95" s="408">
        <v>10192</v>
      </c>
      <c r="J95" s="408">
        <v>20192</v>
      </c>
      <c r="K95" s="408">
        <v>45472</v>
      </c>
      <c r="L95" s="408">
        <v>45472</v>
      </c>
      <c r="M95" s="408">
        <v>45472</v>
      </c>
      <c r="N95" s="408">
        <v>45472</v>
      </c>
      <c r="O95" s="408">
        <v>45472</v>
      </c>
      <c r="P95" s="408">
        <v>45472</v>
      </c>
      <c r="Q95" s="408">
        <v>45472</v>
      </c>
      <c r="R95" s="408">
        <v>45472</v>
      </c>
      <c r="S95" s="408">
        <v>45472</v>
      </c>
      <c r="T95" s="408">
        <v>45472</v>
      </c>
      <c r="U95" s="408">
        <v>45472</v>
      </c>
      <c r="V95" s="408">
        <v>45472</v>
      </c>
      <c r="W95" s="408">
        <v>45472</v>
      </c>
      <c r="X95" s="408">
        <v>45472</v>
      </c>
      <c r="Y95" s="408">
        <v>45472</v>
      </c>
      <c r="Z95" s="408">
        <v>45472</v>
      </c>
      <c r="AA95" s="408">
        <v>45472</v>
      </c>
      <c r="AB95" s="408">
        <v>45472</v>
      </c>
      <c r="AC95" s="408">
        <v>45472</v>
      </c>
      <c r="AD95" s="408">
        <v>45472</v>
      </c>
      <c r="AE95" s="408">
        <v>45472</v>
      </c>
      <c r="AF95" s="408">
        <v>45472</v>
      </c>
      <c r="AG95" s="408">
        <v>45472</v>
      </c>
      <c r="AH95" s="408">
        <v>45472</v>
      </c>
      <c r="AI95" s="408">
        <v>22678</v>
      </c>
      <c r="AJ95" s="407"/>
      <c r="AK95" s="407"/>
      <c r="AL95" s="407"/>
      <c r="AM95" s="384">
        <f t="shared" si="5"/>
        <v>340982</v>
      </c>
      <c r="AN95" s="374">
        <f t="shared" si="6"/>
        <v>1144390</v>
      </c>
      <c r="AO95" s="394"/>
    </row>
    <row r="96" spans="1:41" ht="15">
      <c r="A96" s="538"/>
      <c r="B96" s="391" t="s">
        <v>657</v>
      </c>
      <c r="C96" s="540"/>
      <c r="D96" s="542"/>
      <c r="E96" s="544"/>
      <c r="F96" s="567"/>
      <c r="G96" s="390">
        <v>0.04873</v>
      </c>
      <c r="H96" s="406">
        <v>55605</v>
      </c>
      <c r="I96" s="406">
        <v>52120</v>
      </c>
      <c r="J96" s="406">
        <v>50145</v>
      </c>
      <c r="K96" s="406">
        <v>44840</v>
      </c>
      <c r="L96" s="406">
        <v>43170</v>
      </c>
      <c r="M96" s="406">
        <v>41210</v>
      </c>
      <c r="N96" s="406">
        <v>39365</v>
      </c>
      <c r="O96" s="406">
        <v>37520</v>
      </c>
      <c r="P96" s="406">
        <v>35775</v>
      </c>
      <c r="Q96" s="406">
        <v>33835</v>
      </c>
      <c r="R96" s="406">
        <v>31990</v>
      </c>
      <c r="S96" s="406">
        <v>30145</v>
      </c>
      <c r="T96" s="406">
        <v>28380</v>
      </c>
      <c r="U96" s="406">
        <v>26455</v>
      </c>
      <c r="V96" s="406">
        <v>24610</v>
      </c>
      <c r="W96" s="406">
        <v>22770</v>
      </c>
      <c r="X96" s="405">
        <v>20980</v>
      </c>
      <c r="Y96" s="405">
        <v>19080</v>
      </c>
      <c r="Z96" s="405">
        <v>17235</v>
      </c>
      <c r="AA96" s="405">
        <v>15390</v>
      </c>
      <c r="AB96" s="405">
        <v>13585</v>
      </c>
      <c r="AC96" s="405">
        <v>11705</v>
      </c>
      <c r="AD96" s="405">
        <v>9860</v>
      </c>
      <c r="AE96" s="405">
        <v>8015</v>
      </c>
      <c r="AF96" s="405">
        <v>6190</v>
      </c>
      <c r="AG96" s="405">
        <v>4325</v>
      </c>
      <c r="AH96" s="405">
        <v>2480</v>
      </c>
      <c r="AI96" s="405">
        <v>650</v>
      </c>
      <c r="AJ96" s="404"/>
      <c r="AK96" s="404"/>
      <c r="AL96" s="404"/>
      <c r="AM96" s="379">
        <f t="shared" si="5"/>
        <v>56810</v>
      </c>
      <c r="AN96" s="308">
        <f t="shared" si="6"/>
        <v>727430</v>
      </c>
      <c r="AO96" s="394"/>
    </row>
    <row r="97" spans="1:41" ht="21" customHeight="1">
      <c r="A97" s="537">
        <v>46</v>
      </c>
      <c r="B97" s="323" t="s">
        <v>530</v>
      </c>
      <c r="C97" s="539" t="s">
        <v>231</v>
      </c>
      <c r="D97" s="541">
        <v>680</v>
      </c>
      <c r="E97" s="543">
        <v>147003</v>
      </c>
      <c r="F97" s="566" t="s">
        <v>658</v>
      </c>
      <c r="G97" s="387" t="s">
        <v>533</v>
      </c>
      <c r="H97" s="408">
        <v>4249.71</v>
      </c>
      <c r="I97" s="408">
        <v>7636</v>
      </c>
      <c r="J97" s="408">
        <v>7636</v>
      </c>
      <c r="K97" s="408">
        <v>7636</v>
      </c>
      <c r="L97" s="408">
        <v>7636</v>
      </c>
      <c r="M97" s="408">
        <v>7636</v>
      </c>
      <c r="N97" s="408">
        <v>7636</v>
      </c>
      <c r="O97" s="408">
        <v>7636</v>
      </c>
      <c r="P97" s="408">
        <v>7636</v>
      </c>
      <c r="Q97" s="408">
        <v>7636</v>
      </c>
      <c r="R97" s="408">
        <v>7636</v>
      </c>
      <c r="S97" s="408">
        <v>7636</v>
      </c>
      <c r="T97" s="408">
        <v>7636</v>
      </c>
      <c r="U97" s="408">
        <v>7636</v>
      </c>
      <c r="V97" s="408">
        <v>7636</v>
      </c>
      <c r="W97" s="408">
        <v>7636</v>
      </c>
      <c r="X97" s="408">
        <v>7636</v>
      </c>
      <c r="Y97" s="408">
        <v>5705.29</v>
      </c>
      <c r="Z97" s="407"/>
      <c r="AA97" s="407"/>
      <c r="AB97" s="407"/>
      <c r="AC97" s="407"/>
      <c r="AD97" s="407"/>
      <c r="AE97" s="407"/>
      <c r="AF97" s="407"/>
      <c r="AG97" s="407"/>
      <c r="AH97" s="407"/>
      <c r="AI97" s="407"/>
      <c r="AJ97" s="407"/>
      <c r="AK97" s="407"/>
      <c r="AL97" s="407"/>
      <c r="AM97" s="384">
        <f t="shared" si="5"/>
        <v>0</v>
      </c>
      <c r="AN97" s="374">
        <f t="shared" si="6"/>
        <v>132131</v>
      </c>
      <c r="AO97" s="394"/>
    </row>
    <row r="98" spans="1:41" ht="21" customHeight="1">
      <c r="A98" s="538"/>
      <c r="B98" s="391" t="s">
        <v>659</v>
      </c>
      <c r="C98" s="540"/>
      <c r="D98" s="542"/>
      <c r="E98" s="544"/>
      <c r="F98" s="567"/>
      <c r="G98" s="390">
        <v>0.04693</v>
      </c>
      <c r="H98" s="406">
        <v>6285</v>
      </c>
      <c r="I98" s="406">
        <v>5970</v>
      </c>
      <c r="J98" s="406">
        <v>5285</v>
      </c>
      <c r="K98" s="406">
        <v>4520</v>
      </c>
      <c r="L98" s="406">
        <v>4225</v>
      </c>
      <c r="M98" s="406">
        <v>3900</v>
      </c>
      <c r="N98" s="406">
        <v>3595</v>
      </c>
      <c r="O98" s="406">
        <v>3285</v>
      </c>
      <c r="P98" s="406">
        <v>2980</v>
      </c>
      <c r="Q98" s="406">
        <v>2665</v>
      </c>
      <c r="R98" s="406">
        <v>2355</v>
      </c>
      <c r="S98" s="406">
        <v>2045</v>
      </c>
      <c r="T98" s="406">
        <v>1740</v>
      </c>
      <c r="U98" s="406">
        <v>1425</v>
      </c>
      <c r="V98" s="406">
        <v>1115</v>
      </c>
      <c r="W98" s="406">
        <v>805</v>
      </c>
      <c r="X98" s="405">
        <v>495</v>
      </c>
      <c r="Y98" s="405">
        <v>185</v>
      </c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379">
        <f t="shared" si="5"/>
        <v>0</v>
      </c>
      <c r="AN98" s="308">
        <f t="shared" si="6"/>
        <v>52875</v>
      </c>
      <c r="AO98" s="394"/>
    </row>
    <row r="99" spans="1:41" ht="15">
      <c r="A99" s="537">
        <v>47</v>
      </c>
      <c r="B99" s="316" t="s">
        <v>530</v>
      </c>
      <c r="C99" s="539" t="s">
        <v>660</v>
      </c>
      <c r="D99" s="541">
        <v>681</v>
      </c>
      <c r="E99" s="543">
        <v>106070</v>
      </c>
      <c r="F99" s="566" t="s">
        <v>661</v>
      </c>
      <c r="G99" s="387" t="s">
        <v>533</v>
      </c>
      <c r="H99" s="408">
        <v>564.45</v>
      </c>
      <c r="I99" s="408">
        <v>6300</v>
      </c>
      <c r="J99" s="408">
        <v>6300</v>
      </c>
      <c r="K99" s="408">
        <v>6300</v>
      </c>
      <c r="L99" s="408">
        <v>6300</v>
      </c>
      <c r="M99" s="408">
        <v>6300</v>
      </c>
      <c r="N99" s="408">
        <v>6300</v>
      </c>
      <c r="O99" s="408">
        <v>6300</v>
      </c>
      <c r="P99" s="408">
        <v>6300</v>
      </c>
      <c r="Q99" s="408">
        <v>6300</v>
      </c>
      <c r="R99" s="408">
        <v>6300</v>
      </c>
      <c r="S99" s="408">
        <v>6300</v>
      </c>
      <c r="T99" s="408">
        <v>6300</v>
      </c>
      <c r="U99" s="408">
        <v>6300</v>
      </c>
      <c r="V99" s="408">
        <v>6300</v>
      </c>
      <c r="W99" s="408">
        <v>6300</v>
      </c>
      <c r="X99" s="408">
        <v>6300</v>
      </c>
      <c r="Y99" s="408">
        <v>4705.55</v>
      </c>
      <c r="Z99" s="407"/>
      <c r="AA99" s="407"/>
      <c r="AB99" s="407"/>
      <c r="AC99" s="407"/>
      <c r="AD99" s="407"/>
      <c r="AE99" s="407"/>
      <c r="AF99" s="407"/>
      <c r="AG99" s="407"/>
      <c r="AH99" s="407"/>
      <c r="AI99" s="407"/>
      <c r="AJ99" s="407"/>
      <c r="AK99" s="407"/>
      <c r="AL99" s="407"/>
      <c r="AM99" s="384">
        <f t="shared" si="5"/>
        <v>0</v>
      </c>
      <c r="AN99" s="374">
        <f t="shared" si="6"/>
        <v>106070</v>
      </c>
      <c r="AO99" s="394"/>
    </row>
    <row r="100" spans="1:41" ht="15">
      <c r="A100" s="538"/>
      <c r="B100" s="418" t="s">
        <v>662</v>
      </c>
      <c r="C100" s="540"/>
      <c r="D100" s="542"/>
      <c r="E100" s="544"/>
      <c r="F100" s="567"/>
      <c r="G100" s="390">
        <v>0.04645</v>
      </c>
      <c r="H100" s="412">
        <v>5025</v>
      </c>
      <c r="I100" s="406">
        <v>4920</v>
      </c>
      <c r="J100" s="406">
        <v>4360</v>
      </c>
      <c r="K100" s="406">
        <v>3730</v>
      </c>
      <c r="L100" s="406">
        <v>3485</v>
      </c>
      <c r="M100" s="406">
        <v>3220</v>
      </c>
      <c r="N100" s="406">
        <v>2965</v>
      </c>
      <c r="O100" s="406">
        <v>2710</v>
      </c>
      <c r="P100" s="406">
        <v>2460</v>
      </c>
      <c r="Q100" s="406">
        <v>2200</v>
      </c>
      <c r="R100" s="406">
        <v>1940</v>
      </c>
      <c r="S100" s="406">
        <v>1685</v>
      </c>
      <c r="T100" s="406">
        <v>1435</v>
      </c>
      <c r="U100" s="406">
        <v>1175</v>
      </c>
      <c r="V100" s="406">
        <v>920</v>
      </c>
      <c r="W100" s="406">
        <v>665</v>
      </c>
      <c r="X100" s="405">
        <v>410</v>
      </c>
      <c r="Y100" s="405">
        <v>155</v>
      </c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379">
        <f t="shared" si="5"/>
        <v>0</v>
      </c>
      <c r="AN100" s="308">
        <f t="shared" si="6"/>
        <v>43460</v>
      </c>
      <c r="AO100" s="394"/>
    </row>
    <row r="101" spans="1:41" ht="15">
      <c r="A101" s="537">
        <v>48</v>
      </c>
      <c r="B101" s="316" t="s">
        <v>530</v>
      </c>
      <c r="C101" s="539" t="s">
        <v>1000</v>
      </c>
      <c r="D101" s="541">
        <v>682</v>
      </c>
      <c r="E101" s="543">
        <v>603918</v>
      </c>
      <c r="F101" s="566" t="s">
        <v>661</v>
      </c>
      <c r="G101" s="387" t="s">
        <v>533</v>
      </c>
      <c r="H101" s="408">
        <v>2608.4</v>
      </c>
      <c r="I101" s="408">
        <v>26892</v>
      </c>
      <c r="J101" s="408">
        <v>26892</v>
      </c>
      <c r="K101" s="408">
        <v>26892</v>
      </c>
      <c r="L101" s="408">
        <v>26892</v>
      </c>
      <c r="M101" s="408">
        <v>26892</v>
      </c>
      <c r="N101" s="408">
        <v>26892</v>
      </c>
      <c r="O101" s="408">
        <v>26892</v>
      </c>
      <c r="P101" s="408">
        <v>26892</v>
      </c>
      <c r="Q101" s="408">
        <v>26892</v>
      </c>
      <c r="R101" s="408">
        <v>26892</v>
      </c>
      <c r="S101" s="408">
        <v>26892</v>
      </c>
      <c r="T101" s="408">
        <v>26892</v>
      </c>
      <c r="U101" s="408">
        <v>26892</v>
      </c>
      <c r="V101" s="408">
        <v>26892</v>
      </c>
      <c r="W101" s="408">
        <v>26892</v>
      </c>
      <c r="X101" s="408">
        <v>26892</v>
      </c>
      <c r="Y101" s="408">
        <v>20162.6</v>
      </c>
      <c r="Z101" s="407"/>
      <c r="AA101" s="407"/>
      <c r="AB101" s="407"/>
      <c r="AC101" s="407"/>
      <c r="AD101" s="407"/>
      <c r="AE101" s="407"/>
      <c r="AF101" s="407"/>
      <c r="AG101" s="407"/>
      <c r="AH101" s="407"/>
      <c r="AI101" s="407"/>
      <c r="AJ101" s="407"/>
      <c r="AK101" s="407"/>
      <c r="AL101" s="407"/>
      <c r="AM101" s="384">
        <f t="shared" si="5"/>
        <v>0</v>
      </c>
      <c r="AN101" s="374">
        <f t="shared" si="6"/>
        <v>453043</v>
      </c>
      <c r="AO101" s="394"/>
    </row>
    <row r="102" spans="1:41" ht="15">
      <c r="A102" s="538"/>
      <c r="B102" s="418" t="s">
        <v>663</v>
      </c>
      <c r="C102" s="540"/>
      <c r="D102" s="542"/>
      <c r="E102" s="544"/>
      <c r="F102" s="567"/>
      <c r="G102" s="390">
        <v>0.05245</v>
      </c>
      <c r="H102" s="406">
        <v>24105</v>
      </c>
      <c r="I102" s="406">
        <v>23245</v>
      </c>
      <c r="J102" s="406">
        <v>20220</v>
      </c>
      <c r="K102" s="406">
        <v>15920</v>
      </c>
      <c r="L102" s="406">
        <v>14870</v>
      </c>
      <c r="M102" s="406">
        <v>13740</v>
      </c>
      <c r="N102" s="406">
        <v>12650</v>
      </c>
      <c r="O102" s="406">
        <v>11560</v>
      </c>
      <c r="P102" s="406">
        <v>10495</v>
      </c>
      <c r="Q102" s="406">
        <v>9375</v>
      </c>
      <c r="R102" s="406">
        <v>8285</v>
      </c>
      <c r="S102" s="406">
        <v>7195</v>
      </c>
      <c r="T102" s="406">
        <v>6120</v>
      </c>
      <c r="U102" s="406">
        <v>5015</v>
      </c>
      <c r="V102" s="406">
        <v>3925</v>
      </c>
      <c r="W102" s="406">
        <v>2835</v>
      </c>
      <c r="X102" s="405">
        <v>1750</v>
      </c>
      <c r="Y102" s="405">
        <v>650</v>
      </c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379">
        <f t="shared" si="5"/>
        <v>0</v>
      </c>
      <c r="AN102" s="308">
        <f t="shared" si="6"/>
        <v>191955</v>
      </c>
      <c r="AO102" s="394"/>
    </row>
    <row r="103" spans="1:41" ht="18.75" customHeight="1">
      <c r="A103" s="537">
        <v>49</v>
      </c>
      <c r="B103" s="316" t="s">
        <v>530</v>
      </c>
      <c r="C103" s="539" t="s">
        <v>998</v>
      </c>
      <c r="D103" s="541">
        <v>683</v>
      </c>
      <c r="E103" s="543">
        <v>431815</v>
      </c>
      <c r="F103" s="566" t="s">
        <v>661</v>
      </c>
      <c r="G103" s="387" t="s">
        <v>533</v>
      </c>
      <c r="H103" s="408">
        <v>2441.89</v>
      </c>
      <c r="I103" s="408">
        <v>25636</v>
      </c>
      <c r="J103" s="408">
        <v>25636</v>
      </c>
      <c r="K103" s="408">
        <v>25636</v>
      </c>
      <c r="L103" s="408">
        <v>25636</v>
      </c>
      <c r="M103" s="408">
        <v>25636</v>
      </c>
      <c r="N103" s="408">
        <v>25636</v>
      </c>
      <c r="O103" s="408">
        <v>25636</v>
      </c>
      <c r="P103" s="408">
        <v>25636</v>
      </c>
      <c r="Q103" s="408">
        <v>25636</v>
      </c>
      <c r="R103" s="408">
        <v>25636</v>
      </c>
      <c r="S103" s="408">
        <v>25636</v>
      </c>
      <c r="T103" s="408">
        <v>25636</v>
      </c>
      <c r="U103" s="408">
        <v>25636</v>
      </c>
      <c r="V103" s="408">
        <v>25636</v>
      </c>
      <c r="W103" s="408">
        <v>25636</v>
      </c>
      <c r="X103" s="408">
        <v>25636</v>
      </c>
      <c r="Y103" s="408">
        <v>19197.11</v>
      </c>
      <c r="Z103" s="407"/>
      <c r="AA103" s="407"/>
      <c r="AB103" s="407"/>
      <c r="AC103" s="407"/>
      <c r="AD103" s="407"/>
      <c r="AE103" s="407"/>
      <c r="AF103" s="407"/>
      <c r="AG103" s="407"/>
      <c r="AH103" s="407"/>
      <c r="AI103" s="407"/>
      <c r="AJ103" s="407"/>
      <c r="AK103" s="407"/>
      <c r="AL103" s="407"/>
      <c r="AM103" s="384">
        <f aca="true" t="shared" si="7" ref="AM103:AM134">SUM(AB103:AL103)</f>
        <v>0</v>
      </c>
      <c r="AN103" s="374">
        <f aca="true" t="shared" si="8" ref="AN103:AN134">SUM(H103:AA103)+AM103</f>
        <v>431815</v>
      </c>
      <c r="AO103" s="394"/>
    </row>
    <row r="104" spans="1:41" ht="18.75" customHeight="1">
      <c r="A104" s="538"/>
      <c r="B104" s="418" t="s">
        <v>664</v>
      </c>
      <c r="C104" s="540"/>
      <c r="D104" s="542"/>
      <c r="E104" s="544"/>
      <c r="F104" s="567"/>
      <c r="G104" s="390">
        <v>0.04645</v>
      </c>
      <c r="H104" s="406">
        <v>20345</v>
      </c>
      <c r="I104" s="406">
        <v>19485</v>
      </c>
      <c r="J104" s="406">
        <v>17135</v>
      </c>
      <c r="K104" s="406">
        <v>15175</v>
      </c>
      <c r="L104" s="406">
        <v>14175</v>
      </c>
      <c r="M104" s="406">
        <v>13095</v>
      </c>
      <c r="N104" s="406">
        <v>12055</v>
      </c>
      <c r="O104" s="406">
        <v>11020</v>
      </c>
      <c r="P104" s="406">
        <v>10005</v>
      </c>
      <c r="Q104" s="406">
        <v>8940</v>
      </c>
      <c r="R104" s="406">
        <v>7900</v>
      </c>
      <c r="S104" s="406">
        <v>6860</v>
      </c>
      <c r="T104" s="406">
        <v>5835</v>
      </c>
      <c r="U104" s="406">
        <v>4780</v>
      </c>
      <c r="V104" s="406">
        <v>3740</v>
      </c>
      <c r="W104" s="406">
        <v>2700</v>
      </c>
      <c r="X104" s="405">
        <v>1665</v>
      </c>
      <c r="Y104" s="405">
        <v>620</v>
      </c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379">
        <f t="shared" si="7"/>
        <v>0</v>
      </c>
      <c r="AN104" s="308">
        <f t="shared" si="8"/>
        <v>175530</v>
      </c>
      <c r="AO104" s="394"/>
    </row>
    <row r="105" spans="1:41" ht="21.75" customHeight="1">
      <c r="A105" s="537">
        <v>50</v>
      </c>
      <c r="B105" s="323" t="s">
        <v>530</v>
      </c>
      <c r="C105" s="539" t="s">
        <v>665</v>
      </c>
      <c r="D105" s="541">
        <v>684</v>
      </c>
      <c r="E105" s="543">
        <v>3381381</v>
      </c>
      <c r="F105" s="566" t="s">
        <v>666</v>
      </c>
      <c r="G105" s="387" t="s">
        <v>533</v>
      </c>
      <c r="H105" s="408">
        <v>0</v>
      </c>
      <c r="I105" s="408">
        <v>60944</v>
      </c>
      <c r="J105" s="408">
        <v>100944</v>
      </c>
      <c r="K105" s="408">
        <v>131408</v>
      </c>
      <c r="L105" s="408">
        <v>131408</v>
      </c>
      <c r="M105" s="408">
        <v>131408</v>
      </c>
      <c r="N105" s="408">
        <v>131408</v>
      </c>
      <c r="O105" s="408">
        <v>131408</v>
      </c>
      <c r="P105" s="408">
        <v>131408</v>
      </c>
      <c r="Q105" s="408">
        <v>131408</v>
      </c>
      <c r="R105" s="408">
        <v>131408</v>
      </c>
      <c r="S105" s="408">
        <v>131408</v>
      </c>
      <c r="T105" s="408">
        <v>131408</v>
      </c>
      <c r="U105" s="408">
        <v>131408</v>
      </c>
      <c r="V105" s="408">
        <v>131408</v>
      </c>
      <c r="W105" s="408">
        <v>131408</v>
      </c>
      <c r="X105" s="408">
        <v>131408</v>
      </c>
      <c r="Y105" s="408">
        <v>131408</v>
      </c>
      <c r="Z105" s="408">
        <v>131408</v>
      </c>
      <c r="AA105" s="408">
        <v>131408</v>
      </c>
      <c r="AB105" s="408">
        <v>131408</v>
      </c>
      <c r="AC105" s="408">
        <v>131408</v>
      </c>
      <c r="AD105" s="408">
        <v>131408</v>
      </c>
      <c r="AE105" s="408">
        <v>131408</v>
      </c>
      <c r="AF105" s="408">
        <v>131408</v>
      </c>
      <c r="AG105" s="408">
        <v>131408</v>
      </c>
      <c r="AH105" s="408">
        <v>131408</v>
      </c>
      <c r="AI105" s="408">
        <v>49725.14</v>
      </c>
      <c r="AJ105" s="407"/>
      <c r="AK105" s="407"/>
      <c r="AL105" s="407"/>
      <c r="AM105" s="384">
        <f t="shared" si="7"/>
        <v>969581.14</v>
      </c>
      <c r="AN105" s="374">
        <f t="shared" si="8"/>
        <v>3365405.14</v>
      </c>
      <c r="AO105" s="394"/>
    </row>
    <row r="106" spans="1:41" ht="21.75" customHeight="1">
      <c r="A106" s="538"/>
      <c r="B106" s="391" t="s">
        <v>667</v>
      </c>
      <c r="C106" s="540"/>
      <c r="D106" s="542"/>
      <c r="E106" s="544"/>
      <c r="F106" s="567"/>
      <c r="G106" s="390">
        <v>0.04845</v>
      </c>
      <c r="H106" s="406">
        <v>165385</v>
      </c>
      <c r="I106" s="406">
        <v>160610</v>
      </c>
      <c r="J106" s="406">
        <v>145805</v>
      </c>
      <c r="K106" s="406">
        <v>129035</v>
      </c>
      <c r="L106" s="406">
        <v>124115</v>
      </c>
      <c r="M106" s="406">
        <v>118445</v>
      </c>
      <c r="N106" s="406">
        <v>113115</v>
      </c>
      <c r="O106" s="406">
        <v>107785</v>
      </c>
      <c r="P106" s="406">
        <v>102740</v>
      </c>
      <c r="Q106" s="406">
        <v>97125</v>
      </c>
      <c r="R106" s="406">
        <v>91795</v>
      </c>
      <c r="S106" s="406">
        <v>86465</v>
      </c>
      <c r="T106" s="406">
        <v>81360</v>
      </c>
      <c r="U106" s="406">
        <v>75810</v>
      </c>
      <c r="V106" s="406">
        <v>70480</v>
      </c>
      <c r="W106" s="406">
        <v>65150</v>
      </c>
      <c r="X106" s="405">
        <v>59985</v>
      </c>
      <c r="Y106" s="405">
        <v>54490</v>
      </c>
      <c r="Z106" s="405">
        <v>49160</v>
      </c>
      <c r="AA106" s="405">
        <v>43830</v>
      </c>
      <c r="AB106" s="405">
        <v>38610</v>
      </c>
      <c r="AC106" s="405">
        <v>33175</v>
      </c>
      <c r="AD106" s="405">
        <v>27845</v>
      </c>
      <c r="AE106" s="405">
        <v>22515</v>
      </c>
      <c r="AF106" s="405">
        <v>17235</v>
      </c>
      <c r="AG106" s="405">
        <v>11855</v>
      </c>
      <c r="AH106" s="405">
        <v>6525</v>
      </c>
      <c r="AI106" s="405">
        <v>1415</v>
      </c>
      <c r="AJ106" s="404"/>
      <c r="AK106" s="404"/>
      <c r="AL106" s="404"/>
      <c r="AM106" s="379">
        <f t="shared" si="7"/>
        <v>159175</v>
      </c>
      <c r="AN106" s="308">
        <f t="shared" si="8"/>
        <v>2101860</v>
      </c>
      <c r="AO106" s="394"/>
    </row>
    <row r="107" spans="1:41" ht="15">
      <c r="A107" s="537">
        <v>51</v>
      </c>
      <c r="B107" s="316" t="s">
        <v>530</v>
      </c>
      <c r="C107" s="539" t="s">
        <v>668</v>
      </c>
      <c r="D107" s="541">
        <v>685</v>
      </c>
      <c r="E107" s="543">
        <f>356301+57894-500.88</f>
        <v>413694.12</v>
      </c>
      <c r="F107" s="566" t="s">
        <v>669</v>
      </c>
      <c r="G107" s="387" t="s">
        <v>533</v>
      </c>
      <c r="H107" s="408">
        <v>2325.89</v>
      </c>
      <c r="I107" s="408">
        <v>24560</v>
      </c>
      <c r="J107" s="408">
        <v>24560</v>
      </c>
      <c r="K107" s="408">
        <v>24560</v>
      </c>
      <c r="L107" s="408">
        <v>24560</v>
      </c>
      <c r="M107" s="408">
        <v>24560</v>
      </c>
      <c r="N107" s="408">
        <v>24560</v>
      </c>
      <c r="O107" s="408">
        <v>24560</v>
      </c>
      <c r="P107" s="408">
        <v>24560</v>
      </c>
      <c r="Q107" s="408">
        <v>24560</v>
      </c>
      <c r="R107" s="408">
        <v>24560</v>
      </c>
      <c r="S107" s="408">
        <v>24560</v>
      </c>
      <c r="T107" s="408">
        <v>24560</v>
      </c>
      <c r="U107" s="408">
        <v>24560</v>
      </c>
      <c r="V107" s="408">
        <v>24560</v>
      </c>
      <c r="W107" s="408">
        <v>24560</v>
      </c>
      <c r="X107" s="408">
        <v>24560</v>
      </c>
      <c r="Y107" s="408">
        <v>18408.23</v>
      </c>
      <c r="Z107" s="407"/>
      <c r="AA107" s="407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384">
        <f t="shared" si="7"/>
        <v>0</v>
      </c>
      <c r="AN107" s="374">
        <f t="shared" si="8"/>
        <v>413694.12</v>
      </c>
      <c r="AO107" s="394"/>
    </row>
    <row r="108" spans="1:41" ht="15">
      <c r="A108" s="538"/>
      <c r="B108" s="417" t="s">
        <v>670</v>
      </c>
      <c r="C108" s="540"/>
      <c r="D108" s="542"/>
      <c r="E108" s="544"/>
      <c r="F108" s="567"/>
      <c r="G108" s="390">
        <v>0.04645</v>
      </c>
      <c r="H108" s="406">
        <v>19490</v>
      </c>
      <c r="I108" s="406">
        <v>18665</v>
      </c>
      <c r="J108" s="406">
        <v>16415</v>
      </c>
      <c r="K108" s="406">
        <v>14540</v>
      </c>
      <c r="L108" s="406">
        <v>13580</v>
      </c>
      <c r="M108" s="406">
        <v>12550</v>
      </c>
      <c r="N108" s="406">
        <v>11550</v>
      </c>
      <c r="O108" s="406">
        <v>10555</v>
      </c>
      <c r="P108" s="406">
        <v>9585</v>
      </c>
      <c r="Q108" s="406">
        <v>8565</v>
      </c>
      <c r="R108" s="406">
        <v>7570</v>
      </c>
      <c r="S108" s="406">
        <v>6570</v>
      </c>
      <c r="T108" s="406">
        <v>5590</v>
      </c>
      <c r="U108" s="406">
        <v>4580</v>
      </c>
      <c r="V108" s="406">
        <v>3585</v>
      </c>
      <c r="W108" s="406">
        <v>2590</v>
      </c>
      <c r="X108" s="405">
        <v>1595</v>
      </c>
      <c r="Y108" s="405">
        <v>595</v>
      </c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379">
        <f t="shared" si="7"/>
        <v>0</v>
      </c>
      <c r="AN108" s="308">
        <f t="shared" si="8"/>
        <v>168170</v>
      </c>
      <c r="AO108" s="394"/>
    </row>
    <row r="109" spans="1:41" ht="19.5" customHeight="1">
      <c r="A109" s="537">
        <v>52</v>
      </c>
      <c r="B109" s="323" t="s">
        <v>530</v>
      </c>
      <c r="C109" s="539" t="s">
        <v>231</v>
      </c>
      <c r="D109" s="541">
        <v>686</v>
      </c>
      <c r="E109" s="543">
        <f>57959+23673+506197</f>
        <v>587829</v>
      </c>
      <c r="F109" s="566" t="s">
        <v>671</v>
      </c>
      <c r="G109" s="387" t="s">
        <v>533</v>
      </c>
      <c r="H109" s="408">
        <v>54722.45</v>
      </c>
      <c r="I109" s="408">
        <v>60236</v>
      </c>
      <c r="J109" s="408">
        <v>60236</v>
      </c>
      <c r="K109" s="408">
        <v>60236</v>
      </c>
      <c r="L109" s="408">
        <v>60236</v>
      </c>
      <c r="M109" s="408">
        <v>60236</v>
      </c>
      <c r="N109" s="408">
        <v>60236</v>
      </c>
      <c r="O109" s="408">
        <v>45165.51</v>
      </c>
      <c r="P109" s="408"/>
      <c r="Q109" s="408"/>
      <c r="R109" s="408"/>
      <c r="S109" s="408"/>
      <c r="T109" s="408"/>
      <c r="U109" s="408"/>
      <c r="V109" s="408"/>
      <c r="W109" s="408"/>
      <c r="X109" s="407"/>
      <c r="Y109" s="407"/>
      <c r="Z109" s="407"/>
      <c r="AA109" s="407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384">
        <f t="shared" si="7"/>
        <v>0</v>
      </c>
      <c r="AN109" s="374">
        <f t="shared" si="8"/>
        <v>461303.96</v>
      </c>
      <c r="AO109" s="394"/>
    </row>
    <row r="110" spans="1:41" ht="19.5" customHeight="1">
      <c r="A110" s="538"/>
      <c r="B110" s="416" t="s">
        <v>672</v>
      </c>
      <c r="C110" s="540"/>
      <c r="D110" s="542"/>
      <c r="E110" s="544"/>
      <c r="F110" s="567"/>
      <c r="G110" s="390">
        <v>0.04538</v>
      </c>
      <c r="H110" s="406">
        <v>21085</v>
      </c>
      <c r="I110" s="406">
        <v>18920</v>
      </c>
      <c r="J110" s="406">
        <v>15500</v>
      </c>
      <c r="K110" s="406">
        <v>11230</v>
      </c>
      <c r="L110" s="406">
        <v>8810</v>
      </c>
      <c r="M110" s="406">
        <v>6345</v>
      </c>
      <c r="N110" s="406">
        <v>3900</v>
      </c>
      <c r="O110" s="406">
        <v>1460</v>
      </c>
      <c r="P110" s="409"/>
      <c r="Q110" s="409"/>
      <c r="R110" s="409"/>
      <c r="S110" s="409"/>
      <c r="T110" s="409"/>
      <c r="U110" s="409"/>
      <c r="V110" s="409"/>
      <c r="W110" s="409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379">
        <f t="shared" si="7"/>
        <v>0</v>
      </c>
      <c r="AN110" s="308">
        <f t="shared" si="8"/>
        <v>87250</v>
      </c>
      <c r="AO110" s="394"/>
    </row>
    <row r="111" spans="1:41" ht="28.5" customHeight="1">
      <c r="A111" s="537">
        <v>53</v>
      </c>
      <c r="B111" s="323" t="s">
        <v>530</v>
      </c>
      <c r="C111" s="539" t="s">
        <v>673</v>
      </c>
      <c r="D111" s="541">
        <v>687</v>
      </c>
      <c r="E111" s="543">
        <v>400000</v>
      </c>
      <c r="F111" s="566" t="s">
        <v>674</v>
      </c>
      <c r="G111" s="387" t="s">
        <v>533</v>
      </c>
      <c r="H111" s="408">
        <v>5064.84</v>
      </c>
      <c r="I111" s="408">
        <v>23232</v>
      </c>
      <c r="J111" s="408">
        <v>23232</v>
      </c>
      <c r="K111" s="408">
        <v>23232</v>
      </c>
      <c r="L111" s="408">
        <v>23232</v>
      </c>
      <c r="M111" s="408">
        <v>23232</v>
      </c>
      <c r="N111" s="408">
        <v>23232</v>
      </c>
      <c r="O111" s="408">
        <v>23232</v>
      </c>
      <c r="P111" s="408">
        <v>23232</v>
      </c>
      <c r="Q111" s="408">
        <v>23232</v>
      </c>
      <c r="R111" s="408">
        <v>23232</v>
      </c>
      <c r="S111" s="408">
        <v>23232</v>
      </c>
      <c r="T111" s="408">
        <v>23232</v>
      </c>
      <c r="U111" s="408">
        <v>23232</v>
      </c>
      <c r="V111" s="408">
        <v>23232</v>
      </c>
      <c r="W111" s="408">
        <v>23232</v>
      </c>
      <c r="X111" s="408">
        <v>23232</v>
      </c>
      <c r="Y111" s="408">
        <v>23223.16</v>
      </c>
      <c r="Z111" s="407"/>
      <c r="AA111" s="407"/>
      <c r="AB111" s="407"/>
      <c r="AC111" s="407"/>
      <c r="AD111" s="407"/>
      <c r="AE111" s="407"/>
      <c r="AF111" s="407"/>
      <c r="AG111" s="407"/>
      <c r="AH111" s="407"/>
      <c r="AI111" s="407"/>
      <c r="AJ111" s="407"/>
      <c r="AK111" s="407"/>
      <c r="AL111" s="407"/>
      <c r="AM111" s="384">
        <f t="shared" si="7"/>
        <v>0</v>
      </c>
      <c r="AN111" s="374">
        <f t="shared" si="8"/>
        <v>399999.99999999994</v>
      </c>
      <c r="AO111" s="394"/>
    </row>
    <row r="112" spans="1:41" ht="28.5" customHeight="1">
      <c r="A112" s="538"/>
      <c r="B112" s="416" t="s">
        <v>675</v>
      </c>
      <c r="C112" s="540"/>
      <c r="D112" s="542"/>
      <c r="E112" s="544"/>
      <c r="F112" s="567"/>
      <c r="G112" s="390">
        <v>0.04648</v>
      </c>
      <c r="H112" s="406">
        <v>18490</v>
      </c>
      <c r="I112" s="406">
        <v>17850</v>
      </c>
      <c r="J112" s="406">
        <v>16800</v>
      </c>
      <c r="K112" s="406">
        <v>13990</v>
      </c>
      <c r="L112" s="406">
        <v>13085</v>
      </c>
      <c r="M112" s="406">
        <v>12105</v>
      </c>
      <c r="N112" s="406">
        <v>11165</v>
      </c>
      <c r="O112" s="406">
        <v>10220</v>
      </c>
      <c r="P112" s="406">
        <v>9305</v>
      </c>
      <c r="Q112" s="406">
        <v>8335</v>
      </c>
      <c r="R112" s="406">
        <v>7395</v>
      </c>
      <c r="S112" s="406">
        <v>6450</v>
      </c>
      <c r="T112" s="406">
        <v>5525</v>
      </c>
      <c r="U112" s="406">
        <v>4570</v>
      </c>
      <c r="V112" s="406">
        <v>3625</v>
      </c>
      <c r="W112" s="406">
        <v>2685</v>
      </c>
      <c r="X112" s="405">
        <v>1745</v>
      </c>
      <c r="Y112" s="405">
        <v>800</v>
      </c>
      <c r="Z112" s="405">
        <v>55</v>
      </c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379">
        <f t="shared" si="7"/>
        <v>0</v>
      </c>
      <c r="AN112" s="308">
        <f t="shared" si="8"/>
        <v>164195</v>
      </c>
      <c r="AO112" s="394"/>
    </row>
    <row r="113" spans="1:41" ht="25.5" customHeight="1">
      <c r="A113" s="537">
        <v>54</v>
      </c>
      <c r="B113" s="323" t="s">
        <v>530</v>
      </c>
      <c r="C113" s="539" t="s">
        <v>676</v>
      </c>
      <c r="D113" s="541">
        <v>688</v>
      </c>
      <c r="E113" s="543">
        <f>165287-28.01</f>
        <v>165258.99</v>
      </c>
      <c r="F113" s="566" t="s">
        <v>674</v>
      </c>
      <c r="G113" s="387" t="s">
        <v>533</v>
      </c>
      <c r="H113" s="408">
        <v>0</v>
      </c>
      <c r="I113" s="408">
        <v>9724</v>
      </c>
      <c r="J113" s="408">
        <v>9724</v>
      </c>
      <c r="K113" s="408">
        <v>9724</v>
      </c>
      <c r="L113" s="408">
        <v>9724</v>
      </c>
      <c r="M113" s="408">
        <v>9724</v>
      </c>
      <c r="N113" s="408">
        <v>9724</v>
      </c>
      <c r="O113" s="408">
        <v>9724</v>
      </c>
      <c r="P113" s="408">
        <v>9724</v>
      </c>
      <c r="Q113" s="408">
        <v>9724</v>
      </c>
      <c r="R113" s="408">
        <v>9724</v>
      </c>
      <c r="S113" s="408">
        <v>9724</v>
      </c>
      <c r="T113" s="408">
        <v>9724</v>
      </c>
      <c r="U113" s="408">
        <v>9724</v>
      </c>
      <c r="V113" s="408">
        <v>9724</v>
      </c>
      <c r="W113" s="408">
        <v>9724</v>
      </c>
      <c r="X113" s="408">
        <v>9724</v>
      </c>
      <c r="Y113" s="408">
        <v>9674.99</v>
      </c>
      <c r="Z113" s="407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7"/>
      <c r="AM113" s="384">
        <f t="shared" si="7"/>
        <v>0</v>
      </c>
      <c r="AN113" s="374">
        <f t="shared" si="8"/>
        <v>165258.99</v>
      </c>
      <c r="AO113" s="394"/>
    </row>
    <row r="114" spans="1:41" ht="25.5" customHeight="1">
      <c r="A114" s="538"/>
      <c r="B114" s="391" t="s">
        <v>677</v>
      </c>
      <c r="C114" s="540"/>
      <c r="D114" s="542"/>
      <c r="E114" s="544"/>
      <c r="F114" s="567"/>
      <c r="G114" s="390">
        <v>0.04648</v>
      </c>
      <c r="H114" s="406">
        <v>7640</v>
      </c>
      <c r="I114" s="406">
        <v>7450</v>
      </c>
      <c r="J114" s="406">
        <v>7030</v>
      </c>
      <c r="K114" s="406">
        <v>5855</v>
      </c>
      <c r="L114" s="406">
        <v>5475</v>
      </c>
      <c r="M114" s="406">
        <v>5065</v>
      </c>
      <c r="N114" s="406">
        <v>4670</v>
      </c>
      <c r="O114" s="406">
        <v>4280</v>
      </c>
      <c r="P114" s="406">
        <v>3895</v>
      </c>
      <c r="Q114" s="406">
        <v>3490</v>
      </c>
      <c r="R114" s="406">
        <v>3095</v>
      </c>
      <c r="S114" s="406">
        <v>2700</v>
      </c>
      <c r="T114" s="406">
        <v>2310</v>
      </c>
      <c r="U114" s="406">
        <v>1910</v>
      </c>
      <c r="V114" s="406">
        <v>1515</v>
      </c>
      <c r="W114" s="406">
        <v>1125</v>
      </c>
      <c r="X114" s="405">
        <v>730</v>
      </c>
      <c r="Y114" s="405">
        <v>335</v>
      </c>
      <c r="Z114" s="405">
        <v>25</v>
      </c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379">
        <f t="shared" si="7"/>
        <v>0</v>
      </c>
      <c r="AN114" s="308">
        <f t="shared" si="8"/>
        <v>68595</v>
      </c>
      <c r="AO114" s="394"/>
    </row>
    <row r="115" spans="1:41" ht="15">
      <c r="A115" s="537">
        <v>55</v>
      </c>
      <c r="B115" s="323" t="s">
        <v>530</v>
      </c>
      <c r="C115" s="539" t="s">
        <v>678</v>
      </c>
      <c r="D115" s="541">
        <v>689</v>
      </c>
      <c r="E115" s="543">
        <v>182387</v>
      </c>
      <c r="F115" s="566" t="s">
        <v>679</v>
      </c>
      <c r="G115" s="387" t="s">
        <v>533</v>
      </c>
      <c r="H115" s="414">
        <v>54084.45</v>
      </c>
      <c r="I115" s="414">
        <v>57140</v>
      </c>
      <c r="J115" s="414">
        <v>57135.55</v>
      </c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07"/>
      <c r="AM115" s="384">
        <f t="shared" si="7"/>
        <v>0</v>
      </c>
      <c r="AN115" s="374">
        <f t="shared" si="8"/>
        <v>168360</v>
      </c>
      <c r="AO115" s="394"/>
    </row>
    <row r="116" spans="1:41" ht="15">
      <c r="A116" s="538"/>
      <c r="B116" s="391" t="s">
        <v>680</v>
      </c>
      <c r="C116" s="540"/>
      <c r="D116" s="542"/>
      <c r="E116" s="544"/>
      <c r="F116" s="567"/>
      <c r="G116" s="390">
        <v>0.04436</v>
      </c>
      <c r="H116" s="415">
        <v>6865</v>
      </c>
      <c r="I116" s="413">
        <v>4805</v>
      </c>
      <c r="J116" s="413">
        <v>2210</v>
      </c>
      <c r="K116" s="406">
        <v>145</v>
      </c>
      <c r="L116" s="406"/>
      <c r="M116" s="409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379">
        <f t="shared" si="7"/>
        <v>0</v>
      </c>
      <c r="AN116" s="308">
        <f t="shared" si="8"/>
        <v>14025</v>
      </c>
      <c r="AO116" s="394"/>
    </row>
    <row r="117" spans="1:41" ht="15">
      <c r="A117" s="537">
        <v>56</v>
      </c>
      <c r="B117" s="323" t="s">
        <v>530</v>
      </c>
      <c r="C117" s="539" t="s">
        <v>681</v>
      </c>
      <c r="D117" s="541">
        <v>690</v>
      </c>
      <c r="E117" s="543">
        <v>1554321</v>
      </c>
      <c r="F117" s="566" t="s">
        <v>682</v>
      </c>
      <c r="G117" s="387" t="s">
        <v>533</v>
      </c>
      <c r="H117" s="414">
        <v>0</v>
      </c>
      <c r="I117" s="414">
        <v>10092</v>
      </c>
      <c r="J117" s="414">
        <v>20092</v>
      </c>
      <c r="K117" s="414">
        <v>60092</v>
      </c>
      <c r="L117" s="414">
        <v>78084</v>
      </c>
      <c r="M117" s="414">
        <v>78084</v>
      </c>
      <c r="N117" s="414">
        <v>78084</v>
      </c>
      <c r="O117" s="414">
        <v>78084</v>
      </c>
      <c r="P117" s="414">
        <v>78084</v>
      </c>
      <c r="Q117" s="414">
        <v>78084</v>
      </c>
      <c r="R117" s="414">
        <v>78084</v>
      </c>
      <c r="S117" s="414">
        <v>78084</v>
      </c>
      <c r="T117" s="414">
        <v>78084</v>
      </c>
      <c r="U117" s="414">
        <v>78084</v>
      </c>
      <c r="V117" s="414">
        <v>78084</v>
      </c>
      <c r="W117" s="414">
        <v>78084</v>
      </c>
      <c r="X117" s="414">
        <v>78084</v>
      </c>
      <c r="Y117" s="414">
        <v>78084</v>
      </c>
      <c r="Z117" s="414">
        <v>78084</v>
      </c>
      <c r="AA117" s="414">
        <v>78084</v>
      </c>
      <c r="AB117" s="414">
        <v>78084</v>
      </c>
      <c r="AC117" s="414">
        <v>78084</v>
      </c>
      <c r="AD117" s="414">
        <v>58533</v>
      </c>
      <c r="AE117" s="407"/>
      <c r="AF117" s="407"/>
      <c r="AG117" s="407"/>
      <c r="AH117" s="407"/>
      <c r="AI117" s="407"/>
      <c r="AJ117" s="407"/>
      <c r="AK117" s="407"/>
      <c r="AL117" s="407"/>
      <c r="AM117" s="384">
        <f t="shared" si="7"/>
        <v>214701</v>
      </c>
      <c r="AN117" s="374">
        <f t="shared" si="8"/>
        <v>1554321</v>
      </c>
      <c r="AO117" s="394"/>
    </row>
    <row r="118" spans="1:41" ht="15">
      <c r="A118" s="538"/>
      <c r="B118" s="391" t="s">
        <v>683</v>
      </c>
      <c r="C118" s="540"/>
      <c r="D118" s="542"/>
      <c r="E118" s="544"/>
      <c r="F118" s="567"/>
      <c r="G118" s="390">
        <v>0.04791</v>
      </c>
      <c r="H118" s="413">
        <v>72820</v>
      </c>
      <c r="I118" s="413">
        <v>70820</v>
      </c>
      <c r="J118" s="413">
        <v>70290</v>
      </c>
      <c r="K118" s="413">
        <v>61350</v>
      </c>
      <c r="L118" s="413">
        <v>59010</v>
      </c>
      <c r="M118" s="413">
        <v>55725</v>
      </c>
      <c r="N118" s="413">
        <v>52555</v>
      </c>
      <c r="O118" s="413">
        <v>49390</v>
      </c>
      <c r="P118" s="413">
        <v>46350</v>
      </c>
      <c r="Q118" s="413">
        <v>43055</v>
      </c>
      <c r="R118" s="413">
        <v>39890</v>
      </c>
      <c r="S118" s="413">
        <v>36720</v>
      </c>
      <c r="T118" s="413">
        <v>33650</v>
      </c>
      <c r="U118" s="406">
        <v>30390</v>
      </c>
      <c r="V118" s="406">
        <v>27220</v>
      </c>
      <c r="W118" s="406">
        <v>24055</v>
      </c>
      <c r="X118" s="405">
        <v>20945</v>
      </c>
      <c r="Y118" s="405">
        <v>17720</v>
      </c>
      <c r="Z118" s="405">
        <v>14555</v>
      </c>
      <c r="AA118" s="405">
        <v>11390</v>
      </c>
      <c r="AB118" s="405">
        <v>8245</v>
      </c>
      <c r="AC118" s="405">
        <v>5055</v>
      </c>
      <c r="AD118" s="405">
        <v>1890</v>
      </c>
      <c r="AE118" s="404"/>
      <c r="AF118" s="404"/>
      <c r="AG118" s="404"/>
      <c r="AH118" s="404"/>
      <c r="AI118" s="404"/>
      <c r="AJ118" s="404"/>
      <c r="AK118" s="404"/>
      <c r="AL118" s="404"/>
      <c r="AM118" s="379">
        <f t="shared" si="7"/>
        <v>15190</v>
      </c>
      <c r="AN118" s="308">
        <f t="shared" si="8"/>
        <v>853090</v>
      </c>
      <c r="AO118" s="394"/>
    </row>
    <row r="119" spans="1:41" ht="25.5" customHeight="1">
      <c r="A119" s="537">
        <v>57</v>
      </c>
      <c r="B119" s="323" t="s">
        <v>530</v>
      </c>
      <c r="C119" s="539" t="s">
        <v>999</v>
      </c>
      <c r="D119" s="541">
        <v>691</v>
      </c>
      <c r="E119" s="543">
        <f>102741-5539.61</f>
        <v>97201.39</v>
      </c>
      <c r="F119" s="566" t="s">
        <v>684</v>
      </c>
      <c r="G119" s="387" t="s">
        <v>533</v>
      </c>
      <c r="H119" s="408">
        <v>29343.9</v>
      </c>
      <c r="I119" s="408">
        <v>30200</v>
      </c>
      <c r="J119" s="408">
        <v>30192.1</v>
      </c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7"/>
      <c r="Y119" s="407"/>
      <c r="Z119" s="407"/>
      <c r="AA119" s="407"/>
      <c r="AB119" s="407"/>
      <c r="AC119" s="407"/>
      <c r="AD119" s="407"/>
      <c r="AE119" s="407"/>
      <c r="AF119" s="407"/>
      <c r="AG119" s="407"/>
      <c r="AH119" s="407"/>
      <c r="AI119" s="407"/>
      <c r="AJ119" s="407"/>
      <c r="AK119" s="407"/>
      <c r="AL119" s="407"/>
      <c r="AM119" s="384">
        <f t="shared" si="7"/>
        <v>0</v>
      </c>
      <c r="AN119" s="374">
        <f t="shared" si="8"/>
        <v>89736</v>
      </c>
      <c r="AO119" s="394"/>
    </row>
    <row r="120" spans="1:41" ht="25.5" customHeight="1">
      <c r="A120" s="538"/>
      <c r="B120" s="391" t="s">
        <v>685</v>
      </c>
      <c r="C120" s="540"/>
      <c r="D120" s="542"/>
      <c r="E120" s="544"/>
      <c r="F120" s="567"/>
      <c r="G120" s="390">
        <v>0.04016</v>
      </c>
      <c r="H120" s="406">
        <v>3395</v>
      </c>
      <c r="I120" s="406">
        <v>2375</v>
      </c>
      <c r="J120" s="406">
        <v>1090</v>
      </c>
      <c r="K120" s="406">
        <v>75</v>
      </c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379">
        <f t="shared" si="7"/>
        <v>0</v>
      </c>
      <c r="AN120" s="308">
        <f t="shared" si="8"/>
        <v>6935</v>
      </c>
      <c r="AO120" s="394"/>
    </row>
    <row r="121" spans="1:41" ht="15">
      <c r="A121" s="537">
        <v>58</v>
      </c>
      <c r="B121" s="323" t="s">
        <v>530</v>
      </c>
      <c r="C121" s="539" t="s">
        <v>686</v>
      </c>
      <c r="D121" s="541">
        <v>692</v>
      </c>
      <c r="E121" s="543">
        <f>227931-0.13</f>
        <v>227930.87</v>
      </c>
      <c r="F121" s="559" t="s">
        <v>687</v>
      </c>
      <c r="G121" s="387" t="s">
        <v>533</v>
      </c>
      <c r="H121" s="408">
        <v>0</v>
      </c>
      <c r="I121" s="408">
        <v>13171</v>
      </c>
      <c r="J121" s="408">
        <v>13216</v>
      </c>
      <c r="K121" s="408">
        <v>13216</v>
      </c>
      <c r="L121" s="408">
        <v>13216</v>
      </c>
      <c r="M121" s="408">
        <v>13216</v>
      </c>
      <c r="N121" s="408">
        <v>13216</v>
      </c>
      <c r="O121" s="408">
        <v>13216</v>
      </c>
      <c r="P121" s="408">
        <v>13216</v>
      </c>
      <c r="Q121" s="408">
        <v>13216</v>
      </c>
      <c r="R121" s="408">
        <v>13216</v>
      </c>
      <c r="S121" s="408">
        <v>13216</v>
      </c>
      <c r="T121" s="408">
        <v>13216</v>
      </c>
      <c r="U121" s="408">
        <v>13216</v>
      </c>
      <c r="V121" s="408">
        <v>13216</v>
      </c>
      <c r="W121" s="408">
        <v>13216</v>
      </c>
      <c r="X121" s="408">
        <v>13216</v>
      </c>
      <c r="Y121" s="408">
        <v>13216</v>
      </c>
      <c r="Z121" s="408">
        <v>3303.87</v>
      </c>
      <c r="AA121" s="410"/>
      <c r="AB121" s="410"/>
      <c r="AC121" s="410"/>
      <c r="AD121" s="410"/>
      <c r="AE121" s="410"/>
      <c r="AF121" s="410"/>
      <c r="AG121" s="410"/>
      <c r="AH121" s="410"/>
      <c r="AI121" s="410"/>
      <c r="AJ121" s="410"/>
      <c r="AK121" s="410"/>
      <c r="AL121" s="410"/>
      <c r="AM121" s="384">
        <f t="shared" si="7"/>
        <v>0</v>
      </c>
      <c r="AN121" s="374">
        <f t="shared" si="8"/>
        <v>227930.87</v>
      </c>
      <c r="AO121" s="394"/>
    </row>
    <row r="122" spans="1:41" ht="15">
      <c r="A122" s="538"/>
      <c r="B122" s="391" t="s">
        <v>688</v>
      </c>
      <c r="C122" s="540"/>
      <c r="D122" s="542"/>
      <c r="E122" s="544"/>
      <c r="F122" s="554"/>
      <c r="G122" s="390">
        <v>0.04809</v>
      </c>
      <c r="H122" s="412">
        <v>10905</v>
      </c>
      <c r="I122" s="406">
        <v>10115</v>
      </c>
      <c r="J122" s="406">
        <v>9275</v>
      </c>
      <c r="K122" s="406">
        <v>8250</v>
      </c>
      <c r="L122" s="406">
        <v>7580</v>
      </c>
      <c r="M122" s="406">
        <v>7020</v>
      </c>
      <c r="N122" s="406">
        <v>6485</v>
      </c>
      <c r="O122" s="406">
        <v>5950</v>
      </c>
      <c r="P122" s="406">
        <v>5430</v>
      </c>
      <c r="Q122" s="406">
        <v>4880</v>
      </c>
      <c r="R122" s="406">
        <v>4340</v>
      </c>
      <c r="S122" s="406">
        <v>3805</v>
      </c>
      <c r="T122" s="406">
        <v>3280</v>
      </c>
      <c r="U122" s="406">
        <v>2735</v>
      </c>
      <c r="V122" s="406">
        <v>2200</v>
      </c>
      <c r="W122" s="406">
        <v>1660</v>
      </c>
      <c r="X122" s="405">
        <v>1130</v>
      </c>
      <c r="Y122" s="405">
        <v>590</v>
      </c>
      <c r="Z122" s="405">
        <v>95</v>
      </c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379">
        <f t="shared" si="7"/>
        <v>0</v>
      </c>
      <c r="AN122" s="308">
        <f t="shared" si="8"/>
        <v>95725</v>
      </c>
      <c r="AO122" s="394"/>
    </row>
    <row r="123" spans="1:41" ht="28.5" customHeight="1">
      <c r="A123" s="537">
        <v>59</v>
      </c>
      <c r="B123" s="323" t="s">
        <v>530</v>
      </c>
      <c r="C123" s="539" t="s">
        <v>689</v>
      </c>
      <c r="D123" s="541">
        <v>693</v>
      </c>
      <c r="E123" s="543">
        <v>281144</v>
      </c>
      <c r="F123" s="559" t="s">
        <v>687</v>
      </c>
      <c r="G123" s="387" t="s">
        <v>533</v>
      </c>
      <c r="H123" s="408">
        <v>0</v>
      </c>
      <c r="I123" s="408">
        <v>14588</v>
      </c>
      <c r="J123" s="408">
        <v>14588</v>
      </c>
      <c r="K123" s="408">
        <v>14588</v>
      </c>
      <c r="L123" s="408">
        <v>9800.14</v>
      </c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7"/>
      <c r="AM123" s="384">
        <f t="shared" si="7"/>
        <v>0</v>
      </c>
      <c r="AN123" s="374">
        <f t="shared" si="8"/>
        <v>53564.14</v>
      </c>
      <c r="AO123" s="394"/>
    </row>
    <row r="124" spans="1:41" ht="28.5" customHeight="1">
      <c r="A124" s="538"/>
      <c r="B124" s="391" t="s">
        <v>690</v>
      </c>
      <c r="C124" s="540"/>
      <c r="D124" s="542"/>
      <c r="E124" s="544"/>
      <c r="F124" s="554"/>
      <c r="G124" s="390">
        <v>0.04809</v>
      </c>
      <c r="H124" s="406">
        <v>3225</v>
      </c>
      <c r="I124" s="406">
        <v>2350</v>
      </c>
      <c r="J124" s="406">
        <v>1680</v>
      </c>
      <c r="K124" s="406">
        <v>935</v>
      </c>
      <c r="L124" s="406">
        <v>310</v>
      </c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379">
        <f t="shared" si="7"/>
        <v>0</v>
      </c>
      <c r="AN124" s="308">
        <f t="shared" si="8"/>
        <v>8500</v>
      </c>
      <c r="AO124" s="394"/>
    </row>
    <row r="125" spans="1:41" ht="15">
      <c r="A125" s="537">
        <v>60</v>
      </c>
      <c r="B125" s="323" t="s">
        <v>530</v>
      </c>
      <c r="C125" s="539" t="s">
        <v>692</v>
      </c>
      <c r="D125" s="541">
        <v>695</v>
      </c>
      <c r="E125" s="543">
        <f>476312+31719</f>
        <v>508031</v>
      </c>
      <c r="F125" s="559" t="s">
        <v>693</v>
      </c>
      <c r="G125" s="387" t="s">
        <v>533</v>
      </c>
      <c r="H125" s="471">
        <f>H216</f>
        <v>181311.33</v>
      </c>
      <c r="I125" s="408">
        <v>11620</v>
      </c>
      <c r="J125" s="408">
        <v>11620</v>
      </c>
      <c r="K125" s="408">
        <v>11620</v>
      </c>
      <c r="L125" s="408">
        <v>11620</v>
      </c>
      <c r="M125" s="408">
        <v>11620</v>
      </c>
      <c r="N125" s="408">
        <v>11620</v>
      </c>
      <c r="O125" s="408">
        <v>11620</v>
      </c>
      <c r="P125" s="408">
        <v>11620</v>
      </c>
      <c r="Q125" s="408">
        <v>11620</v>
      </c>
      <c r="R125" s="408">
        <v>11620</v>
      </c>
      <c r="S125" s="408">
        <v>11620</v>
      </c>
      <c r="T125" s="408">
        <v>11620</v>
      </c>
      <c r="U125" s="408">
        <v>11620</v>
      </c>
      <c r="V125" s="408">
        <v>11620</v>
      </c>
      <c r="W125" s="408">
        <v>11620</v>
      </c>
      <c r="X125" s="408">
        <v>11620</v>
      </c>
      <c r="Y125" s="408">
        <v>11620</v>
      </c>
      <c r="Z125" s="408">
        <v>11620</v>
      </c>
      <c r="AA125" s="408">
        <v>11620</v>
      </c>
      <c r="AB125" s="408">
        <v>11620</v>
      </c>
      <c r="AC125" s="408">
        <v>11620</v>
      </c>
      <c r="AD125" s="408">
        <v>11620</v>
      </c>
      <c r="AE125" s="408">
        <v>11620</v>
      </c>
      <c r="AF125" s="408">
        <v>11620</v>
      </c>
      <c r="AG125" s="408">
        <v>11620</v>
      </c>
      <c r="AH125" s="408">
        <v>11620</v>
      </c>
      <c r="AI125" s="408">
        <v>11620</v>
      </c>
      <c r="AJ125" s="408">
        <v>2867.89</v>
      </c>
      <c r="AK125" s="407"/>
      <c r="AL125" s="407"/>
      <c r="AM125" s="384">
        <f t="shared" si="7"/>
        <v>95827.89</v>
      </c>
      <c r="AN125" s="374">
        <f t="shared" si="8"/>
        <v>497919.22</v>
      </c>
      <c r="AO125" s="394"/>
    </row>
    <row r="126" spans="1:41" ht="15">
      <c r="A126" s="538"/>
      <c r="B126" s="391" t="s">
        <v>694</v>
      </c>
      <c r="C126" s="540"/>
      <c r="D126" s="542"/>
      <c r="E126" s="544"/>
      <c r="F126" s="554"/>
      <c r="G126" s="390">
        <v>0.05184</v>
      </c>
      <c r="H126" s="406">
        <v>18705</v>
      </c>
      <c r="I126" s="406">
        <v>16080</v>
      </c>
      <c r="J126" s="406">
        <v>15375</v>
      </c>
      <c r="K126" s="406">
        <v>12585</v>
      </c>
      <c r="L126" s="406">
        <v>11390</v>
      </c>
      <c r="M126" s="406">
        <v>10885</v>
      </c>
      <c r="N126" s="406">
        <v>10415</v>
      </c>
      <c r="O126" s="406">
        <v>9945</v>
      </c>
      <c r="P126" s="406">
        <v>9495</v>
      </c>
      <c r="Q126" s="406">
        <v>9000</v>
      </c>
      <c r="R126" s="406">
        <v>8530</v>
      </c>
      <c r="S126" s="406">
        <v>8060</v>
      </c>
      <c r="T126" s="406">
        <v>7605</v>
      </c>
      <c r="U126" s="406">
        <v>7115</v>
      </c>
      <c r="V126" s="406">
        <v>6645</v>
      </c>
      <c r="W126" s="406">
        <v>6175</v>
      </c>
      <c r="X126" s="405">
        <v>5715</v>
      </c>
      <c r="Y126" s="405">
        <v>5230</v>
      </c>
      <c r="Z126" s="405">
        <v>4760</v>
      </c>
      <c r="AA126" s="405">
        <v>4285</v>
      </c>
      <c r="AB126" s="405">
        <v>3825</v>
      </c>
      <c r="AC126" s="405">
        <v>3345</v>
      </c>
      <c r="AD126" s="405">
        <v>2875</v>
      </c>
      <c r="AE126" s="405">
        <v>2400</v>
      </c>
      <c r="AF126" s="405">
        <v>1935</v>
      </c>
      <c r="AG126" s="405">
        <v>1460</v>
      </c>
      <c r="AH126" s="405">
        <v>990</v>
      </c>
      <c r="AI126" s="405">
        <v>515</v>
      </c>
      <c r="AJ126" s="405">
        <v>85</v>
      </c>
      <c r="AK126" s="404"/>
      <c r="AL126" s="404"/>
      <c r="AM126" s="379">
        <f t="shared" si="7"/>
        <v>17430</v>
      </c>
      <c r="AN126" s="308">
        <f t="shared" si="8"/>
        <v>205425</v>
      </c>
      <c r="AO126" s="394"/>
    </row>
    <row r="127" spans="1:41" ht="21" customHeight="1">
      <c r="A127" s="537">
        <v>61</v>
      </c>
      <c r="B127" s="323" t="s">
        <v>530</v>
      </c>
      <c r="C127" s="539" t="s">
        <v>695</v>
      </c>
      <c r="D127" s="541">
        <v>696</v>
      </c>
      <c r="E127" s="543">
        <f>800107-7133.93</f>
        <v>792973.07</v>
      </c>
      <c r="F127" s="559" t="s">
        <v>696</v>
      </c>
      <c r="G127" s="387" t="s">
        <v>533</v>
      </c>
      <c r="H127" s="408">
        <v>0</v>
      </c>
      <c r="I127" s="408">
        <v>1277</v>
      </c>
      <c r="J127" s="408">
        <v>4000</v>
      </c>
      <c r="K127" s="408">
        <v>51048</v>
      </c>
      <c r="L127" s="408">
        <v>51048</v>
      </c>
      <c r="M127" s="408">
        <v>51048</v>
      </c>
      <c r="N127" s="408">
        <v>51048</v>
      </c>
      <c r="O127" s="408">
        <v>51048</v>
      </c>
      <c r="P127" s="408">
        <v>51048</v>
      </c>
      <c r="Q127" s="408">
        <v>51048</v>
      </c>
      <c r="R127" s="408">
        <v>51048</v>
      </c>
      <c r="S127" s="408">
        <v>51048</v>
      </c>
      <c r="T127" s="408">
        <v>51048</v>
      </c>
      <c r="U127" s="408">
        <v>51048</v>
      </c>
      <c r="V127" s="408">
        <v>51048</v>
      </c>
      <c r="W127" s="408">
        <v>51048</v>
      </c>
      <c r="X127" s="408">
        <v>51048</v>
      </c>
      <c r="Y127" s="408">
        <v>51048</v>
      </c>
      <c r="Z127" s="408">
        <v>12708.17</v>
      </c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384">
        <f t="shared" si="7"/>
        <v>0</v>
      </c>
      <c r="AN127" s="374">
        <f t="shared" si="8"/>
        <v>783705.17</v>
      </c>
      <c r="AO127" s="394"/>
    </row>
    <row r="128" spans="1:41" ht="21" customHeight="1">
      <c r="A128" s="538"/>
      <c r="B128" s="391" t="s">
        <v>697</v>
      </c>
      <c r="C128" s="540"/>
      <c r="D128" s="542"/>
      <c r="E128" s="544"/>
      <c r="F128" s="554"/>
      <c r="G128" s="390">
        <v>0.04789</v>
      </c>
      <c r="H128" s="406">
        <v>37685</v>
      </c>
      <c r="I128" s="406">
        <v>36545</v>
      </c>
      <c r="J128" s="406">
        <v>35670</v>
      </c>
      <c r="K128" s="406">
        <v>33115</v>
      </c>
      <c r="L128" s="406">
        <v>29265</v>
      </c>
      <c r="M128" s="406">
        <v>27110</v>
      </c>
      <c r="N128" s="406">
        <v>25040</v>
      </c>
      <c r="O128" s="406">
        <v>22970</v>
      </c>
      <c r="P128" s="406">
        <v>20960</v>
      </c>
      <c r="Q128" s="406">
        <v>18830</v>
      </c>
      <c r="R128" s="406">
        <v>16760</v>
      </c>
      <c r="S128" s="406">
        <v>14690</v>
      </c>
      <c r="T128" s="406">
        <v>12655</v>
      </c>
      <c r="U128" s="406">
        <v>10550</v>
      </c>
      <c r="V128" s="406">
        <v>8480</v>
      </c>
      <c r="W128" s="406">
        <v>6410</v>
      </c>
      <c r="X128" s="405">
        <v>4350</v>
      </c>
      <c r="Y128" s="405">
        <v>2270</v>
      </c>
      <c r="Z128" s="405">
        <v>360</v>
      </c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379">
        <f t="shared" si="7"/>
        <v>0</v>
      </c>
      <c r="AN128" s="308">
        <f t="shared" si="8"/>
        <v>363715</v>
      </c>
      <c r="AO128" s="394"/>
    </row>
    <row r="129" spans="1:41" ht="21" customHeight="1">
      <c r="A129" s="537">
        <v>62</v>
      </c>
      <c r="B129" s="323" t="s">
        <v>530</v>
      </c>
      <c r="C129" s="539" t="s">
        <v>698</v>
      </c>
      <c r="D129" s="541">
        <v>697</v>
      </c>
      <c r="E129" s="543">
        <f>727379-1545.06</f>
        <v>725833.94</v>
      </c>
      <c r="F129" s="559" t="s">
        <v>699</v>
      </c>
      <c r="G129" s="387" t="s">
        <v>533</v>
      </c>
      <c r="H129" s="408">
        <v>0</v>
      </c>
      <c r="I129" s="408">
        <v>1250</v>
      </c>
      <c r="J129" s="408">
        <v>4000</v>
      </c>
      <c r="K129" s="408">
        <v>28540</v>
      </c>
      <c r="L129" s="408">
        <v>28540</v>
      </c>
      <c r="M129" s="408">
        <v>28540</v>
      </c>
      <c r="N129" s="408">
        <v>28540</v>
      </c>
      <c r="O129" s="408">
        <v>28540</v>
      </c>
      <c r="P129" s="408">
        <v>28540</v>
      </c>
      <c r="Q129" s="408">
        <v>28540</v>
      </c>
      <c r="R129" s="408">
        <v>28540</v>
      </c>
      <c r="S129" s="408">
        <v>28540</v>
      </c>
      <c r="T129" s="408">
        <v>28540</v>
      </c>
      <c r="U129" s="408">
        <v>28540</v>
      </c>
      <c r="V129" s="408">
        <v>28540</v>
      </c>
      <c r="W129" s="408">
        <v>28540</v>
      </c>
      <c r="X129" s="408">
        <v>28540</v>
      </c>
      <c r="Y129" s="408">
        <v>28540</v>
      </c>
      <c r="Z129" s="408">
        <v>28540</v>
      </c>
      <c r="AA129" s="408">
        <v>28540</v>
      </c>
      <c r="AB129" s="408">
        <v>28540</v>
      </c>
      <c r="AC129" s="408">
        <v>28540</v>
      </c>
      <c r="AD129" s="408">
        <v>28540</v>
      </c>
      <c r="AE129" s="408">
        <v>28540</v>
      </c>
      <c r="AF129" s="408">
        <v>28540</v>
      </c>
      <c r="AG129" s="408">
        <v>28540</v>
      </c>
      <c r="AH129" s="408">
        <v>28540</v>
      </c>
      <c r="AI129" s="408">
        <v>28540</v>
      </c>
      <c r="AJ129" s="408">
        <v>7083.94</v>
      </c>
      <c r="AK129" s="410"/>
      <c r="AL129" s="410"/>
      <c r="AM129" s="384">
        <f t="shared" si="7"/>
        <v>235403.94</v>
      </c>
      <c r="AN129" s="374">
        <f t="shared" si="8"/>
        <v>725833.94</v>
      </c>
      <c r="AO129" s="394"/>
    </row>
    <row r="130" spans="1:41" ht="21" customHeight="1">
      <c r="A130" s="538"/>
      <c r="B130" s="391" t="s">
        <v>700</v>
      </c>
      <c r="C130" s="540"/>
      <c r="D130" s="542"/>
      <c r="E130" s="544"/>
      <c r="F130" s="560"/>
      <c r="G130" s="390">
        <v>0.05144</v>
      </c>
      <c r="H130" s="406">
        <v>37800</v>
      </c>
      <c r="I130" s="406">
        <v>37160</v>
      </c>
      <c r="J130" s="406">
        <v>36700</v>
      </c>
      <c r="K130" s="406">
        <v>32635</v>
      </c>
      <c r="L130" s="406">
        <v>27965</v>
      </c>
      <c r="M130" s="406">
        <v>26735</v>
      </c>
      <c r="N130" s="406">
        <v>25575</v>
      </c>
      <c r="O130" s="406">
        <v>24420</v>
      </c>
      <c r="P130" s="406">
        <v>23325</v>
      </c>
      <c r="Q130" s="406">
        <v>22105</v>
      </c>
      <c r="R130" s="406">
        <v>20945</v>
      </c>
      <c r="S130" s="406">
        <v>19790</v>
      </c>
      <c r="T130" s="406">
        <v>18680</v>
      </c>
      <c r="U130" s="406">
        <v>17475</v>
      </c>
      <c r="V130" s="406">
        <v>16315</v>
      </c>
      <c r="W130" s="406">
        <v>15160</v>
      </c>
      <c r="X130" s="405">
        <v>14040</v>
      </c>
      <c r="Y130" s="405">
        <v>12845</v>
      </c>
      <c r="Z130" s="405">
        <v>11685</v>
      </c>
      <c r="AA130" s="405">
        <v>10530</v>
      </c>
      <c r="AB130" s="405">
        <v>9395</v>
      </c>
      <c r="AC130" s="405">
        <v>8215</v>
      </c>
      <c r="AD130" s="405">
        <v>7055</v>
      </c>
      <c r="AE130" s="405">
        <v>5900</v>
      </c>
      <c r="AF130" s="405">
        <v>4755</v>
      </c>
      <c r="AG130" s="405">
        <v>3585</v>
      </c>
      <c r="AH130" s="405">
        <v>2425</v>
      </c>
      <c r="AI130" s="405">
        <v>1270</v>
      </c>
      <c r="AJ130" s="405">
        <v>200</v>
      </c>
      <c r="AK130" s="404"/>
      <c r="AL130" s="404"/>
      <c r="AM130" s="379">
        <f t="shared" si="7"/>
        <v>42800</v>
      </c>
      <c r="AN130" s="308">
        <f t="shared" si="8"/>
        <v>494685</v>
      </c>
      <c r="AO130" s="394"/>
    </row>
    <row r="131" spans="1:41" ht="19.5" customHeight="1">
      <c r="A131" s="537">
        <v>63</v>
      </c>
      <c r="B131" s="323" t="s">
        <v>530</v>
      </c>
      <c r="C131" s="539" t="s">
        <v>998</v>
      </c>
      <c r="D131" s="541">
        <v>698</v>
      </c>
      <c r="E131" s="543">
        <v>49567</v>
      </c>
      <c r="F131" s="559" t="s">
        <v>701</v>
      </c>
      <c r="G131" s="387" t="s">
        <v>533</v>
      </c>
      <c r="H131" s="408">
        <v>520.92</v>
      </c>
      <c r="I131" s="408">
        <v>2820</v>
      </c>
      <c r="J131" s="408">
        <v>2820</v>
      </c>
      <c r="K131" s="408">
        <v>2820</v>
      </c>
      <c r="L131" s="408">
        <v>2820</v>
      </c>
      <c r="M131" s="408">
        <v>2820</v>
      </c>
      <c r="N131" s="408">
        <v>2820</v>
      </c>
      <c r="O131" s="408">
        <v>2820</v>
      </c>
      <c r="P131" s="408">
        <v>2820</v>
      </c>
      <c r="Q131" s="408">
        <v>2820</v>
      </c>
      <c r="R131" s="408">
        <v>2820</v>
      </c>
      <c r="S131" s="408">
        <v>2820</v>
      </c>
      <c r="T131" s="408">
        <v>2820</v>
      </c>
      <c r="U131" s="408">
        <v>2699.95</v>
      </c>
      <c r="V131" s="408"/>
      <c r="W131" s="408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384">
        <f t="shared" si="7"/>
        <v>0</v>
      </c>
      <c r="AN131" s="374">
        <f t="shared" si="8"/>
        <v>37060.869999999995</v>
      </c>
      <c r="AO131" s="394"/>
    </row>
    <row r="132" spans="1:41" ht="19.5" customHeight="1">
      <c r="A132" s="538"/>
      <c r="B132" s="391" t="s">
        <v>702</v>
      </c>
      <c r="C132" s="540"/>
      <c r="D132" s="542"/>
      <c r="E132" s="544"/>
      <c r="F132" s="554"/>
      <c r="G132" s="390">
        <v>0.0503</v>
      </c>
      <c r="H132" s="406">
        <v>1910</v>
      </c>
      <c r="I132" s="406">
        <v>1850</v>
      </c>
      <c r="J132" s="406">
        <v>1690</v>
      </c>
      <c r="K132" s="406">
        <v>1395</v>
      </c>
      <c r="L132" s="406">
        <v>1125</v>
      </c>
      <c r="M132" s="406">
        <v>1010</v>
      </c>
      <c r="N132" s="406">
        <v>895</v>
      </c>
      <c r="O132" s="406">
        <v>780</v>
      </c>
      <c r="P132" s="406">
        <v>670</v>
      </c>
      <c r="Q132" s="406">
        <v>550</v>
      </c>
      <c r="R132" s="406">
        <v>435</v>
      </c>
      <c r="S132" s="406">
        <v>325</v>
      </c>
      <c r="T132" s="406">
        <v>210</v>
      </c>
      <c r="U132" s="406">
        <v>95</v>
      </c>
      <c r="V132" s="406">
        <v>10</v>
      </c>
      <c r="W132" s="409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379">
        <f t="shared" si="7"/>
        <v>0</v>
      </c>
      <c r="AN132" s="308">
        <f t="shared" si="8"/>
        <v>12950</v>
      </c>
      <c r="AO132" s="394"/>
    </row>
    <row r="133" spans="1:41" ht="15">
      <c r="A133" s="537">
        <v>64</v>
      </c>
      <c r="B133" s="323" t="s">
        <v>530</v>
      </c>
      <c r="C133" s="539" t="s">
        <v>435</v>
      </c>
      <c r="D133" s="541">
        <v>699</v>
      </c>
      <c r="E133" s="543">
        <v>2617758</v>
      </c>
      <c r="F133" s="559" t="s">
        <v>703</v>
      </c>
      <c r="G133" s="387" t="s">
        <v>533</v>
      </c>
      <c r="H133" s="408">
        <f>H219</f>
        <v>83980.15</v>
      </c>
      <c r="I133" s="408">
        <v>1444.85</v>
      </c>
      <c r="J133" s="408">
        <v>4000</v>
      </c>
      <c r="K133" s="408">
        <v>100132</v>
      </c>
      <c r="L133" s="408">
        <v>100132</v>
      </c>
      <c r="M133" s="408">
        <v>100132</v>
      </c>
      <c r="N133" s="408">
        <v>100132</v>
      </c>
      <c r="O133" s="408">
        <v>100132</v>
      </c>
      <c r="P133" s="408">
        <v>100132</v>
      </c>
      <c r="Q133" s="408">
        <v>100132</v>
      </c>
      <c r="R133" s="408">
        <v>100132</v>
      </c>
      <c r="S133" s="408">
        <v>100132</v>
      </c>
      <c r="T133" s="408">
        <v>100132</v>
      </c>
      <c r="U133" s="408">
        <v>100132</v>
      </c>
      <c r="V133" s="408">
        <v>100132</v>
      </c>
      <c r="W133" s="408">
        <v>100132</v>
      </c>
      <c r="X133" s="408">
        <v>100132</v>
      </c>
      <c r="Y133" s="408">
        <v>100132</v>
      </c>
      <c r="Z133" s="408">
        <v>100132</v>
      </c>
      <c r="AA133" s="408">
        <v>100132</v>
      </c>
      <c r="AB133" s="408">
        <v>100132</v>
      </c>
      <c r="AC133" s="408">
        <v>100132</v>
      </c>
      <c r="AD133" s="408">
        <v>100132</v>
      </c>
      <c r="AE133" s="408">
        <v>100132</v>
      </c>
      <c r="AF133" s="408">
        <v>100132</v>
      </c>
      <c r="AG133" s="408">
        <v>100132</v>
      </c>
      <c r="AH133" s="408">
        <v>100132</v>
      </c>
      <c r="AI133" s="408">
        <v>100132</v>
      </c>
      <c r="AJ133" s="408">
        <v>25033</v>
      </c>
      <c r="AK133" s="407"/>
      <c r="AL133" s="407"/>
      <c r="AM133" s="384">
        <f t="shared" si="7"/>
        <v>826089</v>
      </c>
      <c r="AN133" s="374">
        <f t="shared" si="8"/>
        <v>2617758</v>
      </c>
      <c r="AO133" s="394"/>
    </row>
    <row r="134" spans="1:41" ht="15">
      <c r="A134" s="538"/>
      <c r="B134" s="391" t="s">
        <v>704</v>
      </c>
      <c r="C134" s="540"/>
      <c r="D134" s="542"/>
      <c r="E134" s="544"/>
      <c r="F134" s="554"/>
      <c r="G134" s="390">
        <v>0.05982</v>
      </c>
      <c r="H134" s="406">
        <v>157905</v>
      </c>
      <c r="I134" s="406">
        <v>141255</v>
      </c>
      <c r="J134" s="406">
        <v>128340</v>
      </c>
      <c r="K134" s="406">
        <v>114475</v>
      </c>
      <c r="L134" s="406">
        <v>98125</v>
      </c>
      <c r="M134" s="406">
        <v>93795</v>
      </c>
      <c r="N134" s="406">
        <v>89730</v>
      </c>
      <c r="O134" s="406">
        <v>85670</v>
      </c>
      <c r="P134" s="406">
        <v>81835</v>
      </c>
      <c r="Q134" s="406">
        <v>77550</v>
      </c>
      <c r="R134" s="406">
        <v>73490</v>
      </c>
      <c r="S134" s="406">
        <v>69425</v>
      </c>
      <c r="T134" s="406">
        <v>65545</v>
      </c>
      <c r="U134" s="406">
        <v>61305</v>
      </c>
      <c r="V134" s="406">
        <v>57245</v>
      </c>
      <c r="W134" s="406">
        <v>53185</v>
      </c>
      <c r="X134" s="405">
        <v>49260</v>
      </c>
      <c r="Y134" s="405">
        <v>45060</v>
      </c>
      <c r="Z134" s="405">
        <v>41000</v>
      </c>
      <c r="AA134" s="405">
        <v>36940</v>
      </c>
      <c r="AB134" s="405">
        <v>32970</v>
      </c>
      <c r="AC134" s="405">
        <v>28820</v>
      </c>
      <c r="AD134" s="405">
        <v>24755</v>
      </c>
      <c r="AE134" s="405">
        <v>20695</v>
      </c>
      <c r="AF134" s="405">
        <v>16685</v>
      </c>
      <c r="AG134" s="405">
        <v>12575</v>
      </c>
      <c r="AH134" s="405">
        <v>8515</v>
      </c>
      <c r="AI134" s="405">
        <v>4455</v>
      </c>
      <c r="AJ134" s="405">
        <v>705</v>
      </c>
      <c r="AK134" s="404"/>
      <c r="AL134" s="404"/>
      <c r="AM134" s="379">
        <f t="shared" si="7"/>
        <v>150175</v>
      </c>
      <c r="AN134" s="308">
        <f t="shared" si="8"/>
        <v>1771310</v>
      </c>
      <c r="AO134" s="394"/>
    </row>
    <row r="135" spans="1:41" ht="15">
      <c r="A135" s="537">
        <v>65</v>
      </c>
      <c r="B135" s="323" t="s">
        <v>530</v>
      </c>
      <c r="C135" s="539" t="s">
        <v>705</v>
      </c>
      <c r="D135" s="541">
        <v>700</v>
      </c>
      <c r="E135" s="543">
        <v>31923</v>
      </c>
      <c r="F135" s="559" t="s">
        <v>706</v>
      </c>
      <c r="G135" s="387" t="s">
        <v>533</v>
      </c>
      <c r="H135" s="408">
        <v>0</v>
      </c>
      <c r="I135" s="408">
        <v>1304</v>
      </c>
      <c r="J135" s="408">
        <v>1828</v>
      </c>
      <c r="K135" s="408">
        <v>1828</v>
      </c>
      <c r="L135" s="408">
        <v>1828</v>
      </c>
      <c r="M135" s="408">
        <v>1828</v>
      </c>
      <c r="N135" s="408">
        <v>1828</v>
      </c>
      <c r="O135" s="408">
        <v>1828</v>
      </c>
      <c r="P135" s="408">
        <v>1828</v>
      </c>
      <c r="Q135" s="408">
        <v>1828</v>
      </c>
      <c r="R135" s="408">
        <v>1828</v>
      </c>
      <c r="S135" s="408">
        <v>1828</v>
      </c>
      <c r="T135" s="408">
        <v>1828</v>
      </c>
      <c r="U135" s="408">
        <v>1828</v>
      </c>
      <c r="V135" s="408">
        <v>1828</v>
      </c>
      <c r="W135" s="408">
        <v>1828</v>
      </c>
      <c r="X135" s="408">
        <v>1828</v>
      </c>
      <c r="Y135" s="408">
        <v>1828</v>
      </c>
      <c r="Z135" s="408">
        <v>1371</v>
      </c>
      <c r="AA135" s="407"/>
      <c r="AB135" s="407"/>
      <c r="AC135" s="407"/>
      <c r="AD135" s="407"/>
      <c r="AE135" s="407"/>
      <c r="AF135" s="407"/>
      <c r="AG135" s="407"/>
      <c r="AH135" s="407"/>
      <c r="AI135" s="407"/>
      <c r="AJ135" s="407"/>
      <c r="AK135" s="407"/>
      <c r="AL135" s="407"/>
      <c r="AM135" s="384">
        <f aca="true" t="shared" si="9" ref="AM135:AM166">SUM(AB135:AL135)</f>
        <v>0</v>
      </c>
      <c r="AN135" s="374">
        <f aca="true" t="shared" si="10" ref="AN135:AN166">SUM(H135:AA135)+AM135</f>
        <v>31923</v>
      </c>
      <c r="AO135" s="394"/>
    </row>
    <row r="136" spans="1:41" ht="15">
      <c r="A136" s="538"/>
      <c r="B136" s="391" t="s">
        <v>707</v>
      </c>
      <c r="C136" s="540"/>
      <c r="D136" s="542"/>
      <c r="E136" s="544"/>
      <c r="F136" s="554"/>
      <c r="G136" s="390">
        <v>0.05916</v>
      </c>
      <c r="H136" s="406">
        <v>1930</v>
      </c>
      <c r="I136" s="406">
        <v>1855</v>
      </c>
      <c r="J136" s="406">
        <v>1465</v>
      </c>
      <c r="K136" s="406">
        <v>1160</v>
      </c>
      <c r="L136" s="406">
        <v>1090</v>
      </c>
      <c r="M136" s="406">
        <v>1010</v>
      </c>
      <c r="N136" s="406">
        <v>935</v>
      </c>
      <c r="O136" s="406">
        <v>860</v>
      </c>
      <c r="P136" s="406">
        <v>790</v>
      </c>
      <c r="Q136" s="406">
        <v>715</v>
      </c>
      <c r="R136" s="406">
        <v>640</v>
      </c>
      <c r="S136" s="406">
        <v>565</v>
      </c>
      <c r="T136" s="406">
        <v>495</v>
      </c>
      <c r="U136" s="406">
        <v>415</v>
      </c>
      <c r="V136" s="406">
        <v>345</v>
      </c>
      <c r="W136" s="406">
        <v>270</v>
      </c>
      <c r="X136" s="405">
        <v>195</v>
      </c>
      <c r="Y136" s="405">
        <v>120</v>
      </c>
      <c r="Z136" s="405">
        <v>45</v>
      </c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379">
        <f t="shared" si="9"/>
        <v>0</v>
      </c>
      <c r="AN136" s="308">
        <f t="shared" si="10"/>
        <v>14900</v>
      </c>
      <c r="AO136" s="394"/>
    </row>
    <row r="137" spans="1:41" ht="21" customHeight="1">
      <c r="A137" s="537">
        <v>66</v>
      </c>
      <c r="B137" s="323" t="s">
        <v>530</v>
      </c>
      <c r="C137" s="539" t="s">
        <v>708</v>
      </c>
      <c r="D137" s="541">
        <v>701</v>
      </c>
      <c r="E137" s="543">
        <v>281777</v>
      </c>
      <c r="F137" s="559" t="s">
        <v>706</v>
      </c>
      <c r="G137" s="387" t="s">
        <v>533</v>
      </c>
      <c r="H137" s="408">
        <v>0</v>
      </c>
      <c r="I137" s="408">
        <v>8149</v>
      </c>
      <c r="J137" s="408">
        <v>16336</v>
      </c>
      <c r="K137" s="408">
        <v>16336</v>
      </c>
      <c r="L137" s="408">
        <v>16336</v>
      </c>
      <c r="M137" s="408">
        <v>16336</v>
      </c>
      <c r="N137" s="408">
        <v>16336</v>
      </c>
      <c r="O137" s="408">
        <v>16336</v>
      </c>
      <c r="P137" s="408">
        <v>16336</v>
      </c>
      <c r="Q137" s="408">
        <v>16336</v>
      </c>
      <c r="R137" s="408">
        <v>16336</v>
      </c>
      <c r="S137" s="408">
        <v>16336</v>
      </c>
      <c r="T137" s="408">
        <v>16336</v>
      </c>
      <c r="U137" s="408">
        <v>16336</v>
      </c>
      <c r="V137" s="408">
        <v>16336</v>
      </c>
      <c r="W137" s="408">
        <v>16336</v>
      </c>
      <c r="X137" s="408">
        <v>16336</v>
      </c>
      <c r="Y137" s="408">
        <v>16336</v>
      </c>
      <c r="Z137" s="408">
        <v>12252</v>
      </c>
      <c r="AA137" s="407"/>
      <c r="AB137" s="407"/>
      <c r="AC137" s="407"/>
      <c r="AD137" s="407"/>
      <c r="AE137" s="407"/>
      <c r="AF137" s="407"/>
      <c r="AG137" s="407"/>
      <c r="AH137" s="407"/>
      <c r="AI137" s="407"/>
      <c r="AJ137" s="407"/>
      <c r="AK137" s="407"/>
      <c r="AL137" s="407"/>
      <c r="AM137" s="384">
        <f t="shared" si="9"/>
        <v>0</v>
      </c>
      <c r="AN137" s="374">
        <f t="shared" si="10"/>
        <v>281777</v>
      </c>
      <c r="AO137" s="394"/>
    </row>
    <row r="138" spans="1:41" ht="21" customHeight="1">
      <c r="A138" s="538"/>
      <c r="B138" s="391" t="s">
        <v>709</v>
      </c>
      <c r="C138" s="540"/>
      <c r="D138" s="542"/>
      <c r="E138" s="544"/>
      <c r="F138" s="560"/>
      <c r="G138" s="390">
        <v>0.05916</v>
      </c>
      <c r="H138" s="406">
        <v>16915</v>
      </c>
      <c r="I138" s="406">
        <v>16420</v>
      </c>
      <c r="J138" s="406">
        <v>13070</v>
      </c>
      <c r="K138" s="406">
        <v>10335</v>
      </c>
      <c r="L138" s="406">
        <v>9700</v>
      </c>
      <c r="M138" s="406">
        <v>9010</v>
      </c>
      <c r="N138" s="406">
        <v>8345</v>
      </c>
      <c r="O138" s="406">
        <v>7685</v>
      </c>
      <c r="P138" s="406">
        <v>7040</v>
      </c>
      <c r="Q138" s="406">
        <v>6360</v>
      </c>
      <c r="R138" s="406">
        <v>5695</v>
      </c>
      <c r="S138" s="406">
        <v>5035</v>
      </c>
      <c r="T138" s="406">
        <v>4385</v>
      </c>
      <c r="U138" s="406">
        <v>3710</v>
      </c>
      <c r="V138" s="406">
        <v>3045</v>
      </c>
      <c r="W138" s="406">
        <v>2385</v>
      </c>
      <c r="X138" s="405">
        <v>1725</v>
      </c>
      <c r="Y138" s="405">
        <v>1060</v>
      </c>
      <c r="Z138" s="405">
        <v>395</v>
      </c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379">
        <f t="shared" si="9"/>
        <v>0</v>
      </c>
      <c r="AN138" s="308">
        <f t="shared" si="10"/>
        <v>132315</v>
      </c>
      <c r="AO138" s="394"/>
    </row>
    <row r="139" spans="1:41" ht="15">
      <c r="A139" s="537">
        <v>67</v>
      </c>
      <c r="B139" s="323" t="s">
        <v>530</v>
      </c>
      <c r="C139" s="539" t="s">
        <v>336</v>
      </c>
      <c r="D139" s="541">
        <v>703</v>
      </c>
      <c r="E139" s="575">
        <v>1917761</v>
      </c>
      <c r="F139" s="566" t="s">
        <v>710</v>
      </c>
      <c r="G139" s="387" t="s">
        <v>533</v>
      </c>
      <c r="H139" s="408">
        <v>0</v>
      </c>
      <c r="I139" s="408">
        <v>10220</v>
      </c>
      <c r="J139" s="408">
        <v>25220</v>
      </c>
      <c r="K139" s="408">
        <v>58936</v>
      </c>
      <c r="L139" s="408">
        <v>89704</v>
      </c>
      <c r="M139" s="408">
        <v>89704</v>
      </c>
      <c r="N139" s="408">
        <v>89704</v>
      </c>
      <c r="O139" s="408">
        <v>89704</v>
      </c>
      <c r="P139" s="408">
        <v>80346</v>
      </c>
      <c r="Q139" s="408">
        <v>70988</v>
      </c>
      <c r="R139" s="408">
        <v>70988</v>
      </c>
      <c r="S139" s="408">
        <v>70988</v>
      </c>
      <c r="T139" s="408">
        <v>70988</v>
      </c>
      <c r="U139" s="408">
        <v>70988</v>
      </c>
      <c r="V139" s="408">
        <v>70988</v>
      </c>
      <c r="W139" s="408">
        <v>70988</v>
      </c>
      <c r="X139" s="408">
        <v>70988</v>
      </c>
      <c r="Y139" s="408">
        <v>70988</v>
      </c>
      <c r="Z139" s="408">
        <v>70988</v>
      </c>
      <c r="AA139" s="408">
        <v>70988</v>
      </c>
      <c r="AB139" s="408">
        <v>70988</v>
      </c>
      <c r="AC139" s="408">
        <v>70988</v>
      </c>
      <c r="AD139" s="408">
        <v>70988</v>
      </c>
      <c r="AE139" s="408">
        <v>70988</v>
      </c>
      <c r="AF139" s="408">
        <v>70988</v>
      </c>
      <c r="AG139" s="408">
        <v>70988</v>
      </c>
      <c r="AH139" s="408">
        <v>70988</v>
      </c>
      <c r="AI139" s="408">
        <v>70988</v>
      </c>
      <c r="AJ139" s="408">
        <v>35451</v>
      </c>
      <c r="AK139" s="407"/>
      <c r="AL139" s="407"/>
      <c r="AM139" s="384">
        <f t="shared" si="9"/>
        <v>603355</v>
      </c>
      <c r="AN139" s="374">
        <f t="shared" si="10"/>
        <v>1917761</v>
      </c>
      <c r="AO139" s="394"/>
    </row>
    <row r="140" spans="1:41" ht="15">
      <c r="A140" s="538"/>
      <c r="B140" s="391" t="s">
        <v>711</v>
      </c>
      <c r="C140" s="540"/>
      <c r="D140" s="542"/>
      <c r="E140" s="576"/>
      <c r="F140" s="567"/>
      <c r="G140" s="390">
        <v>0.06016</v>
      </c>
      <c r="H140" s="406">
        <v>117220</v>
      </c>
      <c r="I140" s="406">
        <v>114090</v>
      </c>
      <c r="J140" s="406">
        <v>98895</v>
      </c>
      <c r="K140" s="406">
        <v>75910</v>
      </c>
      <c r="L140" s="406">
        <v>73525</v>
      </c>
      <c r="M140" s="406">
        <v>69750</v>
      </c>
      <c r="N140" s="406">
        <v>66115</v>
      </c>
      <c r="O140" s="406">
        <v>62475</v>
      </c>
      <c r="P140" s="406">
        <v>59005</v>
      </c>
      <c r="Q140" s="406">
        <v>55695</v>
      </c>
      <c r="R140" s="406">
        <v>52820</v>
      </c>
      <c r="S140" s="406">
        <v>49940</v>
      </c>
      <c r="T140" s="406">
        <v>47190</v>
      </c>
      <c r="U140" s="406">
        <v>44180</v>
      </c>
      <c r="V140" s="406">
        <v>41300</v>
      </c>
      <c r="W140" s="406">
        <v>38425</v>
      </c>
      <c r="X140" s="405">
        <v>35645</v>
      </c>
      <c r="Y140" s="405">
        <v>32665</v>
      </c>
      <c r="Z140" s="405">
        <v>29785</v>
      </c>
      <c r="AA140" s="405">
        <v>26905</v>
      </c>
      <c r="AB140" s="405">
        <v>24095</v>
      </c>
      <c r="AC140" s="405">
        <v>21150</v>
      </c>
      <c r="AD140" s="405">
        <v>18270</v>
      </c>
      <c r="AE140" s="405">
        <v>15390</v>
      </c>
      <c r="AF140" s="405">
        <v>12550</v>
      </c>
      <c r="AG140" s="405">
        <v>9635</v>
      </c>
      <c r="AH140" s="405">
        <v>6755</v>
      </c>
      <c r="AI140" s="405">
        <v>3875</v>
      </c>
      <c r="AJ140" s="405">
        <v>1020</v>
      </c>
      <c r="AK140" s="404"/>
      <c r="AL140" s="404"/>
      <c r="AM140" s="379">
        <f t="shared" si="9"/>
        <v>112740</v>
      </c>
      <c r="AN140" s="308">
        <f t="shared" si="10"/>
        <v>1304275</v>
      </c>
      <c r="AO140" s="394"/>
    </row>
    <row r="141" spans="1:41" ht="15">
      <c r="A141" s="537">
        <v>68</v>
      </c>
      <c r="B141" s="323" t="s">
        <v>530</v>
      </c>
      <c r="C141" s="577" t="s">
        <v>712</v>
      </c>
      <c r="D141" s="541">
        <v>704</v>
      </c>
      <c r="E141" s="575">
        <v>233148</v>
      </c>
      <c r="F141" s="566" t="s">
        <v>713</v>
      </c>
      <c r="G141" s="387" t="s">
        <v>533</v>
      </c>
      <c r="H141" s="408">
        <v>0</v>
      </c>
      <c r="I141" s="408">
        <v>5208</v>
      </c>
      <c r="J141" s="408">
        <v>10480</v>
      </c>
      <c r="K141" s="408">
        <v>10480</v>
      </c>
      <c r="L141" s="408">
        <v>10480</v>
      </c>
      <c r="M141" s="408">
        <v>10480</v>
      </c>
      <c r="N141" s="408">
        <v>10480</v>
      </c>
      <c r="O141" s="408">
        <v>10480</v>
      </c>
      <c r="P141" s="408">
        <v>10480</v>
      </c>
      <c r="Q141" s="408">
        <v>10480</v>
      </c>
      <c r="R141" s="408">
        <v>10480</v>
      </c>
      <c r="S141" s="408">
        <v>10480</v>
      </c>
      <c r="T141" s="408">
        <v>10480</v>
      </c>
      <c r="U141" s="408">
        <v>10480</v>
      </c>
      <c r="V141" s="408">
        <v>10480</v>
      </c>
      <c r="W141" s="408">
        <v>10480</v>
      </c>
      <c r="X141" s="408">
        <v>10480</v>
      </c>
      <c r="Y141" s="408">
        <v>10480</v>
      </c>
      <c r="Z141" s="408">
        <v>10480</v>
      </c>
      <c r="AA141" s="408">
        <v>10480</v>
      </c>
      <c r="AB141" s="408">
        <v>10480</v>
      </c>
      <c r="AC141" s="408">
        <v>10480</v>
      </c>
      <c r="AD141" s="408">
        <v>10480</v>
      </c>
      <c r="AE141" s="407">
        <v>7860</v>
      </c>
      <c r="AF141" s="407"/>
      <c r="AG141" s="407"/>
      <c r="AH141" s="407"/>
      <c r="AI141" s="407"/>
      <c r="AJ141" s="407"/>
      <c r="AK141" s="407"/>
      <c r="AL141" s="407"/>
      <c r="AM141" s="384">
        <f t="shared" si="9"/>
        <v>39300</v>
      </c>
      <c r="AN141" s="374">
        <f t="shared" si="10"/>
        <v>233148</v>
      </c>
      <c r="AO141" s="394"/>
    </row>
    <row r="142" spans="1:41" ht="15">
      <c r="A142" s="538"/>
      <c r="B142" s="391" t="s">
        <v>714</v>
      </c>
      <c r="C142" s="578"/>
      <c r="D142" s="542"/>
      <c r="E142" s="576"/>
      <c r="F142" s="567"/>
      <c r="G142" s="390">
        <v>0.0591</v>
      </c>
      <c r="H142" s="406">
        <v>13850</v>
      </c>
      <c r="I142" s="406">
        <v>11820</v>
      </c>
      <c r="J142" s="406">
        <v>11475</v>
      </c>
      <c r="K142" s="406">
        <v>8755</v>
      </c>
      <c r="L142" s="406">
        <v>8355</v>
      </c>
      <c r="M142" s="406">
        <v>7905</v>
      </c>
      <c r="N142" s="406">
        <v>7480</v>
      </c>
      <c r="O142" s="406">
        <v>7055</v>
      </c>
      <c r="P142" s="406">
        <v>6650</v>
      </c>
      <c r="Q142" s="406">
        <v>6205</v>
      </c>
      <c r="R142" s="406">
        <v>5780</v>
      </c>
      <c r="S142" s="406">
        <v>5355</v>
      </c>
      <c r="T142" s="406">
        <v>4945</v>
      </c>
      <c r="U142" s="406">
        <v>4505</v>
      </c>
      <c r="V142" s="406">
        <v>4080</v>
      </c>
      <c r="W142" s="406">
        <v>3655</v>
      </c>
      <c r="X142" s="405">
        <v>3240</v>
      </c>
      <c r="Y142" s="405">
        <v>2805</v>
      </c>
      <c r="Z142" s="405">
        <v>2380</v>
      </c>
      <c r="AA142" s="405">
        <v>1955</v>
      </c>
      <c r="AB142" s="405">
        <v>1535</v>
      </c>
      <c r="AC142" s="405">
        <v>1105</v>
      </c>
      <c r="AD142" s="405">
        <v>680</v>
      </c>
      <c r="AE142" s="405">
        <v>255</v>
      </c>
      <c r="AF142" s="404"/>
      <c r="AG142" s="404"/>
      <c r="AH142" s="404"/>
      <c r="AI142" s="404"/>
      <c r="AJ142" s="404"/>
      <c r="AK142" s="404"/>
      <c r="AL142" s="404"/>
      <c r="AM142" s="379">
        <f t="shared" si="9"/>
        <v>3575</v>
      </c>
      <c r="AN142" s="308">
        <f t="shared" si="10"/>
        <v>131825</v>
      </c>
      <c r="AO142" s="394"/>
    </row>
    <row r="143" spans="1:41" ht="21" customHeight="1">
      <c r="A143" s="537">
        <v>69</v>
      </c>
      <c r="B143" s="323" t="s">
        <v>530</v>
      </c>
      <c r="C143" s="577" t="s">
        <v>715</v>
      </c>
      <c r="D143" s="541">
        <v>705</v>
      </c>
      <c r="E143" s="575">
        <v>61747</v>
      </c>
      <c r="F143" s="566" t="s">
        <v>716</v>
      </c>
      <c r="G143" s="387" t="s">
        <v>533</v>
      </c>
      <c r="H143" s="408">
        <v>5920.01</v>
      </c>
      <c r="I143" s="408">
        <v>7204</v>
      </c>
      <c r="J143" s="408">
        <v>7204</v>
      </c>
      <c r="K143" s="408">
        <v>7204</v>
      </c>
      <c r="L143" s="408">
        <v>7204</v>
      </c>
      <c r="M143" s="408">
        <v>7204</v>
      </c>
      <c r="N143" s="408">
        <v>7204</v>
      </c>
      <c r="O143" s="408">
        <v>7204</v>
      </c>
      <c r="P143" s="408">
        <v>5398.99</v>
      </c>
      <c r="Q143" s="408"/>
      <c r="R143" s="408"/>
      <c r="S143" s="408"/>
      <c r="T143" s="408"/>
      <c r="U143" s="408"/>
      <c r="V143" s="408"/>
      <c r="W143" s="408"/>
      <c r="X143" s="407"/>
      <c r="Y143" s="407"/>
      <c r="Z143" s="407"/>
      <c r="AA143" s="407"/>
      <c r="AB143" s="407"/>
      <c r="AC143" s="407"/>
      <c r="AD143" s="407"/>
      <c r="AE143" s="407"/>
      <c r="AF143" s="407"/>
      <c r="AG143" s="407"/>
      <c r="AH143" s="407"/>
      <c r="AI143" s="407"/>
      <c r="AJ143" s="407"/>
      <c r="AK143" s="407"/>
      <c r="AL143" s="407"/>
      <c r="AM143" s="384">
        <f t="shared" si="9"/>
        <v>0</v>
      </c>
      <c r="AN143" s="374">
        <f t="shared" si="10"/>
        <v>61747</v>
      </c>
      <c r="AO143" s="394"/>
    </row>
    <row r="144" spans="1:41" ht="21" customHeight="1">
      <c r="A144" s="538"/>
      <c r="B144" s="391" t="s">
        <v>717</v>
      </c>
      <c r="C144" s="578"/>
      <c r="D144" s="542"/>
      <c r="E144" s="576"/>
      <c r="F144" s="567"/>
      <c r="G144" s="390">
        <v>0.0531</v>
      </c>
      <c r="H144" s="406">
        <v>3225</v>
      </c>
      <c r="I144" s="406">
        <v>2775</v>
      </c>
      <c r="J144" s="406">
        <v>2410</v>
      </c>
      <c r="K144" s="406">
        <v>1635</v>
      </c>
      <c r="L144" s="406">
        <v>1350</v>
      </c>
      <c r="M144" s="406">
        <v>1055</v>
      </c>
      <c r="N144" s="406">
        <v>760</v>
      </c>
      <c r="O144" s="406">
        <v>470</v>
      </c>
      <c r="P144" s="406">
        <v>175</v>
      </c>
      <c r="Q144" s="409"/>
      <c r="R144" s="409"/>
      <c r="S144" s="409"/>
      <c r="T144" s="409"/>
      <c r="U144" s="409"/>
      <c r="V144" s="409"/>
      <c r="W144" s="409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379">
        <f t="shared" si="9"/>
        <v>0</v>
      </c>
      <c r="AN144" s="308">
        <f t="shared" si="10"/>
        <v>13855</v>
      </c>
      <c r="AO144" s="394"/>
    </row>
    <row r="145" spans="1:41" ht="20.25" customHeight="1">
      <c r="A145" s="537">
        <v>70</v>
      </c>
      <c r="B145" s="323" t="s">
        <v>530</v>
      </c>
      <c r="C145" s="577" t="s">
        <v>718</v>
      </c>
      <c r="D145" s="541">
        <v>706</v>
      </c>
      <c r="E145" s="575">
        <v>86370</v>
      </c>
      <c r="F145" s="566" t="s">
        <v>716</v>
      </c>
      <c r="G145" s="387" t="s">
        <v>533</v>
      </c>
      <c r="H145" s="408">
        <v>8261.05</v>
      </c>
      <c r="I145" s="408">
        <v>10080</v>
      </c>
      <c r="J145" s="408">
        <v>10080</v>
      </c>
      <c r="K145" s="408">
        <v>10080</v>
      </c>
      <c r="L145" s="408">
        <v>10080</v>
      </c>
      <c r="M145" s="408">
        <v>10080</v>
      </c>
      <c r="N145" s="408">
        <v>10080</v>
      </c>
      <c r="O145" s="408">
        <v>10080</v>
      </c>
      <c r="P145" s="408">
        <v>7548.95</v>
      </c>
      <c r="Q145" s="408"/>
      <c r="R145" s="408"/>
      <c r="S145" s="408"/>
      <c r="T145" s="408"/>
      <c r="U145" s="408"/>
      <c r="V145" s="408"/>
      <c r="W145" s="408"/>
      <c r="X145" s="407"/>
      <c r="Y145" s="407"/>
      <c r="Z145" s="407"/>
      <c r="AA145" s="407"/>
      <c r="AB145" s="407"/>
      <c r="AC145" s="407"/>
      <c r="AD145" s="407"/>
      <c r="AE145" s="407"/>
      <c r="AF145" s="407"/>
      <c r="AG145" s="407"/>
      <c r="AH145" s="407"/>
      <c r="AI145" s="407"/>
      <c r="AJ145" s="407"/>
      <c r="AK145" s="407"/>
      <c r="AL145" s="407"/>
      <c r="AM145" s="384">
        <f t="shared" si="9"/>
        <v>0</v>
      </c>
      <c r="AN145" s="374">
        <f t="shared" si="10"/>
        <v>86370</v>
      </c>
      <c r="AO145" s="394"/>
    </row>
    <row r="146" spans="1:41" ht="20.25" customHeight="1">
      <c r="A146" s="538"/>
      <c r="B146" s="391" t="s">
        <v>719</v>
      </c>
      <c r="C146" s="578"/>
      <c r="D146" s="542"/>
      <c r="E146" s="576"/>
      <c r="F146" s="567"/>
      <c r="G146" s="390">
        <v>0.0531</v>
      </c>
      <c r="H146" s="406">
        <v>4510</v>
      </c>
      <c r="I146" s="406">
        <v>3880</v>
      </c>
      <c r="J146" s="406">
        <v>3370</v>
      </c>
      <c r="K146" s="406">
        <v>2290</v>
      </c>
      <c r="L146" s="406">
        <v>1885</v>
      </c>
      <c r="M146" s="406">
        <v>1470</v>
      </c>
      <c r="N146" s="406">
        <v>1065</v>
      </c>
      <c r="O146" s="406">
        <v>655</v>
      </c>
      <c r="P146" s="406">
        <v>245</v>
      </c>
      <c r="Q146" s="409"/>
      <c r="R146" s="409"/>
      <c r="S146" s="409"/>
      <c r="T146" s="409"/>
      <c r="U146" s="409"/>
      <c r="V146" s="409"/>
      <c r="W146" s="409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379">
        <f t="shared" si="9"/>
        <v>0</v>
      </c>
      <c r="AN146" s="308">
        <f t="shared" si="10"/>
        <v>19370</v>
      </c>
      <c r="AO146" s="394"/>
    </row>
    <row r="147" spans="1:41" ht="18.75" customHeight="1">
      <c r="A147" s="537">
        <v>71</v>
      </c>
      <c r="B147" s="323" t="s">
        <v>530</v>
      </c>
      <c r="C147" s="577" t="s">
        <v>720</v>
      </c>
      <c r="D147" s="541">
        <v>707</v>
      </c>
      <c r="E147" s="575">
        <v>59840</v>
      </c>
      <c r="F147" s="566" t="s">
        <v>716</v>
      </c>
      <c r="G147" s="387" t="s">
        <v>533</v>
      </c>
      <c r="H147" s="408">
        <v>5706.31</v>
      </c>
      <c r="I147" s="408">
        <v>6988</v>
      </c>
      <c r="J147" s="408">
        <v>6988</v>
      </c>
      <c r="K147" s="408">
        <v>6988</v>
      </c>
      <c r="L147" s="408">
        <v>6988</v>
      </c>
      <c r="M147" s="408">
        <v>6988</v>
      </c>
      <c r="N147" s="408">
        <v>6988</v>
      </c>
      <c r="O147" s="408">
        <v>6988</v>
      </c>
      <c r="P147" s="408">
        <v>5217.69</v>
      </c>
      <c r="Q147" s="408"/>
      <c r="R147" s="408"/>
      <c r="S147" s="408"/>
      <c r="T147" s="408"/>
      <c r="U147" s="408"/>
      <c r="V147" s="408"/>
      <c r="W147" s="408"/>
      <c r="X147" s="407"/>
      <c r="Y147" s="407"/>
      <c r="Z147" s="407"/>
      <c r="AA147" s="407"/>
      <c r="AB147" s="407"/>
      <c r="AC147" s="407"/>
      <c r="AD147" s="407"/>
      <c r="AE147" s="407"/>
      <c r="AF147" s="407"/>
      <c r="AG147" s="407"/>
      <c r="AH147" s="407"/>
      <c r="AI147" s="407"/>
      <c r="AJ147" s="407"/>
      <c r="AK147" s="407"/>
      <c r="AL147" s="407"/>
      <c r="AM147" s="384">
        <f t="shared" si="9"/>
        <v>0</v>
      </c>
      <c r="AN147" s="374">
        <f t="shared" si="10"/>
        <v>59840</v>
      </c>
      <c r="AO147" s="394"/>
    </row>
    <row r="148" spans="1:41" ht="18.75" customHeight="1">
      <c r="A148" s="538"/>
      <c r="B148" s="391" t="s">
        <v>721</v>
      </c>
      <c r="C148" s="578"/>
      <c r="D148" s="542"/>
      <c r="E148" s="576"/>
      <c r="F148" s="567"/>
      <c r="G148" s="390">
        <v>0.0531</v>
      </c>
      <c r="H148" s="406">
        <v>3125</v>
      </c>
      <c r="I148" s="406">
        <v>2690</v>
      </c>
      <c r="J148" s="406">
        <v>2340</v>
      </c>
      <c r="K148" s="406">
        <v>1585</v>
      </c>
      <c r="L148" s="406">
        <v>1310</v>
      </c>
      <c r="M148" s="406">
        <v>1020</v>
      </c>
      <c r="N148" s="406">
        <v>735</v>
      </c>
      <c r="O148" s="406">
        <v>455</v>
      </c>
      <c r="P148" s="406">
        <v>170</v>
      </c>
      <c r="Q148" s="409"/>
      <c r="R148" s="409"/>
      <c r="S148" s="409"/>
      <c r="T148" s="409"/>
      <c r="U148" s="409"/>
      <c r="V148" s="409"/>
      <c r="W148" s="409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379">
        <f t="shared" si="9"/>
        <v>0</v>
      </c>
      <c r="AN148" s="308">
        <f t="shared" si="10"/>
        <v>13430</v>
      </c>
      <c r="AO148" s="394"/>
    </row>
    <row r="149" spans="1:41" ht="18.75" customHeight="1">
      <c r="A149" s="537">
        <v>72</v>
      </c>
      <c r="B149" s="323" t="s">
        <v>530</v>
      </c>
      <c r="C149" s="577" t="s">
        <v>722</v>
      </c>
      <c r="D149" s="541">
        <v>708</v>
      </c>
      <c r="E149" s="575">
        <v>94375</v>
      </c>
      <c r="F149" s="566" t="s">
        <v>716</v>
      </c>
      <c r="G149" s="387" t="s">
        <v>533</v>
      </c>
      <c r="H149" s="408">
        <v>9045.22</v>
      </c>
      <c r="I149" s="408">
        <v>11012</v>
      </c>
      <c r="J149" s="408">
        <v>11012</v>
      </c>
      <c r="K149" s="408">
        <v>11012</v>
      </c>
      <c r="L149" s="408">
        <v>11012</v>
      </c>
      <c r="M149" s="408">
        <v>11012</v>
      </c>
      <c r="N149" s="408">
        <v>11012</v>
      </c>
      <c r="O149" s="408">
        <v>11012</v>
      </c>
      <c r="P149" s="408">
        <v>8245.78</v>
      </c>
      <c r="Q149" s="408"/>
      <c r="R149" s="408"/>
      <c r="S149" s="408"/>
      <c r="T149" s="408"/>
      <c r="U149" s="408"/>
      <c r="V149" s="408"/>
      <c r="W149" s="408"/>
      <c r="X149" s="407"/>
      <c r="Y149" s="407"/>
      <c r="Z149" s="407"/>
      <c r="AA149" s="407"/>
      <c r="AB149" s="407"/>
      <c r="AC149" s="407"/>
      <c r="AD149" s="407"/>
      <c r="AE149" s="407"/>
      <c r="AF149" s="407"/>
      <c r="AG149" s="407"/>
      <c r="AH149" s="407"/>
      <c r="AI149" s="407"/>
      <c r="AJ149" s="407"/>
      <c r="AK149" s="407"/>
      <c r="AL149" s="407"/>
      <c r="AM149" s="384">
        <f t="shared" si="9"/>
        <v>0</v>
      </c>
      <c r="AN149" s="374">
        <f t="shared" si="10"/>
        <v>94375</v>
      </c>
      <c r="AO149" s="394"/>
    </row>
    <row r="150" spans="1:41" ht="18.75" customHeight="1">
      <c r="A150" s="538"/>
      <c r="B150" s="391" t="s">
        <v>723</v>
      </c>
      <c r="C150" s="578"/>
      <c r="D150" s="542"/>
      <c r="E150" s="576"/>
      <c r="F150" s="567"/>
      <c r="G150" s="390">
        <v>0.0531</v>
      </c>
      <c r="H150" s="406">
        <v>4930</v>
      </c>
      <c r="I150" s="406">
        <v>4235</v>
      </c>
      <c r="J150" s="406">
        <v>3685</v>
      </c>
      <c r="K150" s="406">
        <v>2500</v>
      </c>
      <c r="L150" s="406">
        <v>2060</v>
      </c>
      <c r="M150" s="406">
        <v>1610</v>
      </c>
      <c r="N150" s="406">
        <v>1160</v>
      </c>
      <c r="O150" s="406">
        <v>715</v>
      </c>
      <c r="P150" s="406">
        <v>270</v>
      </c>
      <c r="Q150" s="409"/>
      <c r="R150" s="409"/>
      <c r="S150" s="409"/>
      <c r="T150" s="409"/>
      <c r="U150" s="409"/>
      <c r="V150" s="409"/>
      <c r="W150" s="409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379">
        <f t="shared" si="9"/>
        <v>0</v>
      </c>
      <c r="AN150" s="308">
        <f t="shared" si="10"/>
        <v>21165</v>
      </c>
      <c r="AO150" s="394"/>
    </row>
    <row r="151" spans="1:41" ht="18.75" customHeight="1">
      <c r="A151" s="537">
        <v>73</v>
      </c>
      <c r="B151" s="323" t="s">
        <v>530</v>
      </c>
      <c r="C151" s="577" t="s">
        <v>665</v>
      </c>
      <c r="D151" s="573">
        <v>710</v>
      </c>
      <c r="E151" s="575">
        <v>680163</v>
      </c>
      <c r="F151" s="566" t="s">
        <v>724</v>
      </c>
      <c r="G151" s="387" t="s">
        <v>533</v>
      </c>
      <c r="H151" s="408">
        <v>0</v>
      </c>
      <c r="I151" s="408">
        <v>24292</v>
      </c>
      <c r="J151" s="408">
        <v>24292</v>
      </c>
      <c r="K151" s="408">
        <v>24292</v>
      </c>
      <c r="L151" s="408">
        <v>24292</v>
      </c>
      <c r="M151" s="408">
        <v>24292</v>
      </c>
      <c r="N151" s="408">
        <v>24292</v>
      </c>
      <c r="O151" s="408">
        <v>24292</v>
      </c>
      <c r="P151" s="408">
        <v>24292</v>
      </c>
      <c r="Q151" s="408">
        <v>24292</v>
      </c>
      <c r="R151" s="408">
        <v>24292</v>
      </c>
      <c r="S151" s="408">
        <v>24292</v>
      </c>
      <c r="T151" s="408">
        <v>24292</v>
      </c>
      <c r="U151" s="408">
        <v>24292</v>
      </c>
      <c r="V151" s="408">
        <v>24292</v>
      </c>
      <c r="W151" s="408">
        <v>24292</v>
      </c>
      <c r="X151" s="408">
        <v>24292</v>
      </c>
      <c r="Y151" s="408">
        <v>24292</v>
      </c>
      <c r="Z151" s="408">
        <v>24292</v>
      </c>
      <c r="AA151" s="408">
        <v>24292</v>
      </c>
      <c r="AB151" s="408">
        <v>24292</v>
      </c>
      <c r="AC151" s="408">
        <v>24292</v>
      </c>
      <c r="AD151" s="408">
        <v>24292</v>
      </c>
      <c r="AE151" s="408">
        <v>24292</v>
      </c>
      <c r="AF151" s="408">
        <v>24292</v>
      </c>
      <c r="AG151" s="408">
        <v>24292</v>
      </c>
      <c r="AH151" s="408">
        <v>24292</v>
      </c>
      <c r="AI151" s="408">
        <v>24292</v>
      </c>
      <c r="AJ151" s="408">
        <v>24279</v>
      </c>
      <c r="AK151" s="407"/>
      <c r="AL151" s="407"/>
      <c r="AM151" s="384">
        <f t="shared" si="9"/>
        <v>218615</v>
      </c>
      <c r="AN151" s="374">
        <f t="shared" si="10"/>
        <v>680163</v>
      </c>
      <c r="AO151" s="394"/>
    </row>
    <row r="152" spans="1:41" ht="18.75" customHeight="1">
      <c r="A152" s="538"/>
      <c r="B152" s="391" t="s">
        <v>725</v>
      </c>
      <c r="C152" s="578"/>
      <c r="D152" s="574"/>
      <c r="E152" s="576"/>
      <c r="F152" s="567"/>
      <c r="G152" s="390">
        <v>0.06352</v>
      </c>
      <c r="H152" s="406">
        <v>42685</v>
      </c>
      <c r="I152" s="406">
        <v>41070</v>
      </c>
      <c r="J152" s="406">
        <v>33060</v>
      </c>
      <c r="K152" s="406">
        <v>25470</v>
      </c>
      <c r="L152" s="406">
        <v>24545</v>
      </c>
      <c r="M152" s="406">
        <v>23495</v>
      </c>
      <c r="N152" s="406">
        <v>22510</v>
      </c>
      <c r="O152" s="406">
        <v>21525</v>
      </c>
      <c r="P152" s="406">
        <v>20595</v>
      </c>
      <c r="Q152" s="406">
        <v>19555</v>
      </c>
      <c r="R152" s="406">
        <v>18570</v>
      </c>
      <c r="S152" s="406">
        <v>17585</v>
      </c>
      <c r="T152" s="406">
        <v>16645</v>
      </c>
      <c r="U152" s="406">
        <v>15615</v>
      </c>
      <c r="V152" s="406">
        <v>14630</v>
      </c>
      <c r="W152" s="406">
        <v>13645</v>
      </c>
      <c r="X152" s="405">
        <v>12695</v>
      </c>
      <c r="Y152" s="405">
        <v>11670</v>
      </c>
      <c r="Z152" s="405">
        <v>10685</v>
      </c>
      <c r="AA152" s="405">
        <v>9700</v>
      </c>
      <c r="AB152" s="405">
        <v>8740</v>
      </c>
      <c r="AC152" s="405">
        <v>7730</v>
      </c>
      <c r="AD152" s="405">
        <v>6745</v>
      </c>
      <c r="AE152" s="405">
        <v>5760</v>
      </c>
      <c r="AF152" s="405">
        <v>4790</v>
      </c>
      <c r="AG152" s="405">
        <v>3790</v>
      </c>
      <c r="AH152" s="405">
        <v>2805</v>
      </c>
      <c r="AI152" s="405">
        <v>1820</v>
      </c>
      <c r="AJ152" s="405">
        <v>840</v>
      </c>
      <c r="AK152" s="405">
        <v>55</v>
      </c>
      <c r="AL152" s="404"/>
      <c r="AM152" s="379">
        <f t="shared" si="9"/>
        <v>43075</v>
      </c>
      <c r="AN152" s="308">
        <f t="shared" si="10"/>
        <v>459025</v>
      </c>
      <c r="AO152" s="394"/>
    </row>
    <row r="153" spans="1:41" ht="15">
      <c r="A153" s="537">
        <v>74</v>
      </c>
      <c r="B153" s="323" t="s">
        <v>530</v>
      </c>
      <c r="C153" s="577" t="s">
        <v>749</v>
      </c>
      <c r="D153" s="573">
        <v>711</v>
      </c>
      <c r="E153" s="575">
        <v>1581646</v>
      </c>
      <c r="F153" s="566" t="s">
        <v>750</v>
      </c>
      <c r="G153" s="387" t="s">
        <v>533</v>
      </c>
      <c r="H153" s="408">
        <v>56206.31</v>
      </c>
      <c r="I153" s="408">
        <v>155188</v>
      </c>
      <c r="J153" s="408">
        <v>155188</v>
      </c>
      <c r="K153" s="408">
        <v>155188</v>
      </c>
      <c r="L153" s="408">
        <v>95878</v>
      </c>
      <c r="M153" s="408">
        <v>76108</v>
      </c>
      <c r="N153" s="408">
        <v>76108</v>
      </c>
      <c r="O153" s="408">
        <v>76108</v>
      </c>
      <c r="P153" s="408">
        <v>76108</v>
      </c>
      <c r="Q153" s="408">
        <v>43051</v>
      </c>
      <c r="R153" s="408">
        <v>32032</v>
      </c>
      <c r="S153" s="408">
        <v>32032</v>
      </c>
      <c r="T153" s="408">
        <v>32032</v>
      </c>
      <c r="U153" s="408">
        <v>32032</v>
      </c>
      <c r="V153" s="408">
        <v>32032</v>
      </c>
      <c r="W153" s="408">
        <v>32032</v>
      </c>
      <c r="X153" s="408">
        <v>32032</v>
      </c>
      <c r="Y153" s="408">
        <v>32032</v>
      </c>
      <c r="Z153" s="408">
        <v>32032</v>
      </c>
      <c r="AA153" s="408">
        <v>32032</v>
      </c>
      <c r="AB153" s="408">
        <v>32032</v>
      </c>
      <c r="AC153" s="408">
        <v>32032</v>
      </c>
      <c r="AD153" s="408">
        <v>32032</v>
      </c>
      <c r="AE153" s="408">
        <v>32032</v>
      </c>
      <c r="AF153" s="408">
        <v>32032</v>
      </c>
      <c r="AG153" s="408">
        <v>32032</v>
      </c>
      <c r="AH153" s="408">
        <v>32032</v>
      </c>
      <c r="AI153" s="408">
        <v>32032</v>
      </c>
      <c r="AJ153" s="408">
        <v>32032</v>
      </c>
      <c r="AK153" s="408">
        <v>7906.69</v>
      </c>
      <c r="AL153" s="410"/>
      <c r="AM153" s="384">
        <f t="shared" si="9"/>
        <v>296194.69</v>
      </c>
      <c r="AN153" s="374">
        <f t="shared" si="10"/>
        <v>1581646</v>
      </c>
      <c r="AO153" s="394"/>
    </row>
    <row r="154" spans="1:41" ht="15">
      <c r="A154" s="538"/>
      <c r="B154" s="391" t="s">
        <v>751</v>
      </c>
      <c r="C154" s="578"/>
      <c r="D154" s="574"/>
      <c r="E154" s="576"/>
      <c r="F154" s="567"/>
      <c r="G154" s="390">
        <v>0.05701</v>
      </c>
      <c r="H154" s="406">
        <v>89935</v>
      </c>
      <c r="I154" s="406">
        <v>84395</v>
      </c>
      <c r="J154" s="406">
        <v>70050</v>
      </c>
      <c r="K154" s="406">
        <v>51505</v>
      </c>
      <c r="L154" s="406">
        <v>42380</v>
      </c>
      <c r="M154" s="406">
        <v>38620</v>
      </c>
      <c r="N154" s="406">
        <v>35535</v>
      </c>
      <c r="O154" s="406">
        <v>32450</v>
      </c>
      <c r="P154" s="406">
        <v>29445</v>
      </c>
      <c r="Q154" s="406">
        <v>26415</v>
      </c>
      <c r="R154" s="406">
        <v>24805</v>
      </c>
      <c r="S154" s="406">
        <v>23505</v>
      </c>
      <c r="T154" s="406">
        <v>22270</v>
      </c>
      <c r="U154" s="406">
        <v>20910</v>
      </c>
      <c r="V154" s="406">
        <v>19610</v>
      </c>
      <c r="W154" s="406">
        <v>18310</v>
      </c>
      <c r="X154" s="405">
        <v>17060</v>
      </c>
      <c r="Y154" s="405">
        <v>15710</v>
      </c>
      <c r="Z154" s="405">
        <v>14415</v>
      </c>
      <c r="AA154" s="405">
        <v>13115</v>
      </c>
      <c r="AB154" s="405">
        <v>11850</v>
      </c>
      <c r="AC154" s="405">
        <v>10515</v>
      </c>
      <c r="AD154" s="405">
        <v>9215</v>
      </c>
      <c r="AE154" s="405">
        <v>7915</v>
      </c>
      <c r="AF154" s="405">
        <v>6635</v>
      </c>
      <c r="AG154" s="405">
        <v>5320</v>
      </c>
      <c r="AH154" s="405">
        <v>4020</v>
      </c>
      <c r="AI154" s="405">
        <v>2720</v>
      </c>
      <c r="AJ154" s="405">
        <v>1425</v>
      </c>
      <c r="AK154" s="405">
        <v>225</v>
      </c>
      <c r="AL154" s="404"/>
      <c r="AM154" s="379">
        <f t="shared" si="9"/>
        <v>59840</v>
      </c>
      <c r="AN154" s="308">
        <f t="shared" si="10"/>
        <v>750280</v>
      </c>
      <c r="AO154" s="394"/>
    </row>
    <row r="155" spans="1:41" ht="20.25" customHeight="1">
      <c r="A155" s="537">
        <v>75</v>
      </c>
      <c r="B155" s="323" t="s">
        <v>530</v>
      </c>
      <c r="C155" s="577" t="s">
        <v>726</v>
      </c>
      <c r="D155" s="573">
        <v>712</v>
      </c>
      <c r="E155" s="575">
        <v>134941.01</v>
      </c>
      <c r="F155" s="566" t="s">
        <v>761</v>
      </c>
      <c r="G155" s="387" t="s">
        <v>533</v>
      </c>
      <c r="H155" s="408">
        <v>9220.81</v>
      </c>
      <c r="I155" s="408">
        <v>14672</v>
      </c>
      <c r="J155" s="408">
        <v>14672</v>
      </c>
      <c r="K155" s="408">
        <v>14672</v>
      </c>
      <c r="L155" s="408">
        <v>14672</v>
      </c>
      <c r="M155" s="408">
        <v>14672</v>
      </c>
      <c r="N155" s="408">
        <v>14672</v>
      </c>
      <c r="O155" s="408">
        <v>14672</v>
      </c>
      <c r="P155" s="408">
        <v>14672</v>
      </c>
      <c r="Q155" s="408">
        <v>3636.11</v>
      </c>
      <c r="R155" s="408"/>
      <c r="S155" s="408"/>
      <c r="T155" s="408"/>
      <c r="U155" s="408"/>
      <c r="V155" s="408"/>
      <c r="W155" s="408"/>
      <c r="X155" s="407"/>
      <c r="Y155" s="407"/>
      <c r="Z155" s="407"/>
      <c r="AA155" s="407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384">
        <f t="shared" si="9"/>
        <v>0</v>
      </c>
      <c r="AN155" s="374">
        <f t="shared" si="10"/>
        <v>130232.92</v>
      </c>
      <c r="AO155" s="394"/>
    </row>
    <row r="156" spans="1:41" ht="20.25" customHeight="1">
      <c r="A156" s="538"/>
      <c r="B156" s="391" t="s">
        <v>760</v>
      </c>
      <c r="C156" s="578"/>
      <c r="D156" s="574"/>
      <c r="E156" s="576"/>
      <c r="F156" s="567"/>
      <c r="G156" s="390">
        <v>0.05016</v>
      </c>
      <c r="H156" s="406">
        <v>6525</v>
      </c>
      <c r="I156" s="406">
        <v>5725</v>
      </c>
      <c r="J156" s="406">
        <v>4750</v>
      </c>
      <c r="K156" s="406">
        <v>3865</v>
      </c>
      <c r="L156" s="406">
        <v>3040</v>
      </c>
      <c r="M156" s="406">
        <v>2440</v>
      </c>
      <c r="N156" s="406">
        <v>1845</v>
      </c>
      <c r="O156" s="406">
        <v>1250</v>
      </c>
      <c r="P156" s="406">
        <v>655</v>
      </c>
      <c r="Q156" s="406">
        <v>105</v>
      </c>
      <c r="R156" s="409"/>
      <c r="S156" s="409"/>
      <c r="T156" s="409"/>
      <c r="U156" s="409"/>
      <c r="V156" s="409"/>
      <c r="W156" s="409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379">
        <f t="shared" si="9"/>
        <v>0</v>
      </c>
      <c r="AN156" s="308">
        <f t="shared" si="10"/>
        <v>30200</v>
      </c>
      <c r="AO156" s="394"/>
    </row>
    <row r="157" spans="1:41" ht="20.25" customHeight="1">
      <c r="A157" s="537">
        <v>76</v>
      </c>
      <c r="B157" s="323" t="s">
        <v>530</v>
      </c>
      <c r="C157" s="577" t="s">
        <v>691</v>
      </c>
      <c r="D157" s="573">
        <v>713</v>
      </c>
      <c r="E157" s="575">
        <v>26000</v>
      </c>
      <c r="F157" s="566" t="s">
        <v>763</v>
      </c>
      <c r="G157" s="387" t="s">
        <v>533</v>
      </c>
      <c r="H157" s="408">
        <v>0</v>
      </c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411"/>
      <c r="W157" s="411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384">
        <f t="shared" si="9"/>
        <v>0</v>
      </c>
      <c r="AN157" s="374">
        <f t="shared" si="10"/>
        <v>0</v>
      </c>
      <c r="AO157" s="394"/>
    </row>
    <row r="158" spans="1:41" ht="20.25" customHeight="1">
      <c r="A158" s="538"/>
      <c r="B158" s="391" t="s">
        <v>762</v>
      </c>
      <c r="C158" s="578"/>
      <c r="D158" s="574"/>
      <c r="E158" s="576"/>
      <c r="F158" s="567"/>
      <c r="G158" s="390">
        <v>0.04571</v>
      </c>
      <c r="H158" s="406">
        <v>270</v>
      </c>
      <c r="I158" s="409"/>
      <c r="J158" s="409"/>
      <c r="K158" s="409"/>
      <c r="L158" s="409"/>
      <c r="M158" s="409"/>
      <c r="N158" s="409"/>
      <c r="O158" s="409"/>
      <c r="P158" s="409"/>
      <c r="Q158" s="409"/>
      <c r="R158" s="409"/>
      <c r="S158" s="409"/>
      <c r="T158" s="409"/>
      <c r="U158" s="409"/>
      <c r="V158" s="409"/>
      <c r="W158" s="409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379">
        <f t="shared" si="9"/>
        <v>0</v>
      </c>
      <c r="AN158" s="308">
        <f t="shared" si="10"/>
        <v>270</v>
      </c>
      <c r="AO158" s="394"/>
    </row>
    <row r="159" spans="1:41" ht="20.25" customHeight="1">
      <c r="A159" s="537">
        <v>77</v>
      </c>
      <c r="B159" s="323" t="s">
        <v>530</v>
      </c>
      <c r="C159" s="577" t="s">
        <v>765</v>
      </c>
      <c r="D159" s="573">
        <v>714</v>
      </c>
      <c r="E159" s="575">
        <f>132405-49291.87</f>
        <v>83113.13</v>
      </c>
      <c r="F159" s="566" t="s">
        <v>909</v>
      </c>
      <c r="G159" s="387" t="s">
        <v>533</v>
      </c>
      <c r="H159" s="408">
        <f>H218</f>
        <v>41498.98</v>
      </c>
      <c r="I159" s="408">
        <v>0</v>
      </c>
      <c r="J159" s="408">
        <v>7556</v>
      </c>
      <c r="K159" s="408">
        <v>7556</v>
      </c>
      <c r="L159" s="408">
        <v>7556</v>
      </c>
      <c r="M159" s="408">
        <v>7556</v>
      </c>
      <c r="N159" s="408">
        <v>7556</v>
      </c>
      <c r="O159" s="408">
        <v>3834.15</v>
      </c>
      <c r="P159" s="411"/>
      <c r="Q159" s="411"/>
      <c r="R159" s="411"/>
      <c r="S159" s="411"/>
      <c r="T159" s="411"/>
      <c r="U159" s="411"/>
      <c r="V159" s="411"/>
      <c r="W159" s="411"/>
      <c r="X159" s="410"/>
      <c r="Y159" s="410"/>
      <c r="Z159" s="410"/>
      <c r="AA159" s="410"/>
      <c r="AB159" s="410"/>
      <c r="AC159" s="410"/>
      <c r="AD159" s="410"/>
      <c r="AE159" s="410"/>
      <c r="AF159" s="410"/>
      <c r="AG159" s="410"/>
      <c r="AH159" s="410"/>
      <c r="AI159" s="410"/>
      <c r="AJ159" s="410"/>
      <c r="AK159" s="410"/>
      <c r="AL159" s="410"/>
      <c r="AM159" s="384">
        <f t="shared" si="9"/>
        <v>0</v>
      </c>
      <c r="AN159" s="374">
        <f t="shared" si="10"/>
        <v>83113.13</v>
      </c>
      <c r="AO159" s="162"/>
    </row>
    <row r="160" spans="1:41" ht="20.25" customHeight="1">
      <c r="A160" s="538"/>
      <c r="B160" s="391" t="s">
        <v>764</v>
      </c>
      <c r="C160" s="578"/>
      <c r="D160" s="574"/>
      <c r="E160" s="576"/>
      <c r="F160" s="567"/>
      <c r="G160" s="390">
        <v>0.05439</v>
      </c>
      <c r="H160" s="406">
        <v>3200</v>
      </c>
      <c r="I160" s="406">
        <v>2205</v>
      </c>
      <c r="J160" s="406">
        <v>2030</v>
      </c>
      <c r="K160" s="406">
        <v>1510</v>
      </c>
      <c r="L160" s="406">
        <v>1035</v>
      </c>
      <c r="M160" s="406">
        <v>725</v>
      </c>
      <c r="N160" s="406">
        <v>415</v>
      </c>
      <c r="O160" s="406">
        <v>115</v>
      </c>
      <c r="P160" s="409"/>
      <c r="Q160" s="409"/>
      <c r="R160" s="409"/>
      <c r="S160" s="409"/>
      <c r="T160" s="409"/>
      <c r="U160" s="409"/>
      <c r="V160" s="409"/>
      <c r="W160" s="409"/>
      <c r="X160" s="404"/>
      <c r="Y160" s="404"/>
      <c r="Z160" s="404"/>
      <c r="AA160" s="404"/>
      <c r="AB160" s="404"/>
      <c r="AC160" s="404"/>
      <c r="AD160" s="404"/>
      <c r="AE160" s="404"/>
      <c r="AF160" s="404"/>
      <c r="AG160" s="404"/>
      <c r="AH160" s="404"/>
      <c r="AI160" s="404"/>
      <c r="AJ160" s="404"/>
      <c r="AK160" s="404"/>
      <c r="AL160" s="404"/>
      <c r="AM160" s="379">
        <f t="shared" si="9"/>
        <v>0</v>
      </c>
      <c r="AN160" s="308">
        <f t="shared" si="10"/>
        <v>11235</v>
      </c>
      <c r="AO160" s="162"/>
    </row>
    <row r="161" spans="1:41" ht="20.25" customHeight="1">
      <c r="A161" s="537">
        <v>78</v>
      </c>
      <c r="B161" s="323" t="s">
        <v>530</v>
      </c>
      <c r="C161" s="577" t="s">
        <v>767</v>
      </c>
      <c r="D161" s="573">
        <v>715</v>
      </c>
      <c r="E161" s="575">
        <v>579626</v>
      </c>
      <c r="F161" s="566" t="s">
        <v>768</v>
      </c>
      <c r="G161" s="387" t="s">
        <v>533</v>
      </c>
      <c r="H161" s="408">
        <v>0</v>
      </c>
      <c r="I161" s="408">
        <v>0</v>
      </c>
      <c r="J161" s="408">
        <v>30148</v>
      </c>
      <c r="K161" s="408">
        <v>30148</v>
      </c>
      <c r="L161" s="408">
        <v>30148</v>
      </c>
      <c r="M161" s="408">
        <v>30148</v>
      </c>
      <c r="N161" s="408">
        <v>30148</v>
      </c>
      <c r="O161" s="408">
        <v>30148</v>
      </c>
      <c r="P161" s="408">
        <v>30148</v>
      </c>
      <c r="Q161" s="408">
        <v>30148</v>
      </c>
      <c r="R161" s="408">
        <v>30148</v>
      </c>
      <c r="S161" s="408">
        <v>30148</v>
      </c>
      <c r="T161" s="408">
        <v>30148</v>
      </c>
      <c r="U161" s="408">
        <v>30148</v>
      </c>
      <c r="V161" s="408">
        <v>30148</v>
      </c>
      <c r="W161" s="408">
        <v>30148</v>
      </c>
      <c r="X161" s="408">
        <v>30148</v>
      </c>
      <c r="Y161" s="408">
        <v>30148</v>
      </c>
      <c r="Z161" s="408">
        <v>30148</v>
      </c>
      <c r="AA161" s="408">
        <v>7505.03</v>
      </c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384">
        <f t="shared" si="9"/>
        <v>0</v>
      </c>
      <c r="AN161" s="374">
        <f t="shared" si="10"/>
        <v>520021.03</v>
      </c>
      <c r="AO161" s="394"/>
    </row>
    <row r="162" spans="1:41" ht="20.25" customHeight="1">
      <c r="A162" s="538"/>
      <c r="B162" s="391" t="s">
        <v>766</v>
      </c>
      <c r="C162" s="578"/>
      <c r="D162" s="574"/>
      <c r="E162" s="576"/>
      <c r="F162" s="567"/>
      <c r="G162" s="390">
        <v>0.05439</v>
      </c>
      <c r="H162" s="406">
        <v>29285</v>
      </c>
      <c r="I162" s="406">
        <v>28310</v>
      </c>
      <c r="J162" s="406">
        <v>26830</v>
      </c>
      <c r="K162" s="406">
        <v>22170</v>
      </c>
      <c r="L162" s="406">
        <v>18510</v>
      </c>
      <c r="M162" s="406">
        <v>17235</v>
      </c>
      <c r="N162" s="406">
        <v>16015</v>
      </c>
      <c r="O162" s="406">
        <v>14780</v>
      </c>
      <c r="P162" s="406">
        <v>13605</v>
      </c>
      <c r="Q162" s="406">
        <v>12345</v>
      </c>
      <c r="R162" s="406">
        <v>11120</v>
      </c>
      <c r="S162" s="406">
        <v>9900</v>
      </c>
      <c r="T162" s="406">
        <v>8700</v>
      </c>
      <c r="U162" s="406">
        <v>7455</v>
      </c>
      <c r="V162" s="406">
        <v>6230</v>
      </c>
      <c r="W162" s="406">
        <v>5010</v>
      </c>
      <c r="X162" s="405">
        <v>3795</v>
      </c>
      <c r="Y162" s="405">
        <v>2565</v>
      </c>
      <c r="Z162" s="405">
        <v>1340</v>
      </c>
      <c r="AA162" s="405">
        <v>215</v>
      </c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4"/>
      <c r="AM162" s="379">
        <f t="shared" si="9"/>
        <v>0</v>
      </c>
      <c r="AN162" s="308">
        <f t="shared" si="10"/>
        <v>255415</v>
      </c>
      <c r="AO162" s="394"/>
    </row>
    <row r="163" spans="1:41" ht="20.25" customHeight="1">
      <c r="A163" s="537">
        <v>79</v>
      </c>
      <c r="B163" s="323" t="s">
        <v>530</v>
      </c>
      <c r="C163" s="539" t="s">
        <v>665</v>
      </c>
      <c r="D163" s="541">
        <v>716</v>
      </c>
      <c r="E163" s="543">
        <f>259372-5070.27</f>
        <v>254301.73</v>
      </c>
      <c r="F163" s="556" t="s">
        <v>846</v>
      </c>
      <c r="G163" s="387" t="s">
        <v>533</v>
      </c>
      <c r="H163" s="386">
        <v>4739.89</v>
      </c>
      <c r="I163" s="386">
        <v>23084</v>
      </c>
      <c r="J163" s="386">
        <v>23084</v>
      </c>
      <c r="K163" s="386">
        <v>23084</v>
      </c>
      <c r="L163" s="386">
        <v>23084</v>
      </c>
      <c r="M163" s="386">
        <v>23084</v>
      </c>
      <c r="N163" s="386">
        <v>23084</v>
      </c>
      <c r="O163" s="386">
        <v>23084</v>
      </c>
      <c r="P163" s="386">
        <v>23084</v>
      </c>
      <c r="Q163" s="386">
        <v>11528.12</v>
      </c>
      <c r="R163" s="386"/>
      <c r="S163" s="386"/>
      <c r="T163" s="386"/>
      <c r="U163" s="386"/>
      <c r="V163" s="386"/>
      <c r="W163" s="386"/>
      <c r="X163" s="402"/>
      <c r="Y163" s="402"/>
      <c r="Z163" s="402"/>
      <c r="AA163" s="402"/>
      <c r="AB163" s="402"/>
      <c r="AC163" s="402"/>
      <c r="AD163" s="402"/>
      <c r="AE163" s="402"/>
      <c r="AF163" s="402"/>
      <c r="AG163" s="402"/>
      <c r="AH163" s="402"/>
      <c r="AI163" s="402"/>
      <c r="AJ163" s="402"/>
      <c r="AK163" s="402"/>
      <c r="AL163" s="402"/>
      <c r="AM163" s="384">
        <f t="shared" si="9"/>
        <v>0</v>
      </c>
      <c r="AN163" s="374">
        <f t="shared" si="10"/>
        <v>200940.01</v>
      </c>
      <c r="AO163" s="394"/>
    </row>
    <row r="164" spans="1:41" ht="20.25" customHeight="1">
      <c r="A164" s="538"/>
      <c r="B164" s="391" t="s">
        <v>847</v>
      </c>
      <c r="C164" s="540"/>
      <c r="D164" s="542"/>
      <c r="E164" s="544"/>
      <c r="F164" s="551"/>
      <c r="G164" s="390">
        <v>0.05097</v>
      </c>
      <c r="H164" s="389">
        <v>10790</v>
      </c>
      <c r="I164" s="389">
        <v>9930</v>
      </c>
      <c r="J164" s="389">
        <v>8600</v>
      </c>
      <c r="K164" s="389">
        <v>6715</v>
      </c>
      <c r="L164" s="389">
        <v>5020</v>
      </c>
      <c r="M164" s="389">
        <v>4070</v>
      </c>
      <c r="N164" s="389">
        <v>3135</v>
      </c>
      <c r="O164" s="389">
        <v>2200</v>
      </c>
      <c r="P164" s="389">
        <v>1265</v>
      </c>
      <c r="Q164" s="389">
        <v>330</v>
      </c>
      <c r="R164" s="397"/>
      <c r="S164" s="397"/>
      <c r="T164" s="397"/>
      <c r="U164" s="397"/>
      <c r="V164" s="397"/>
      <c r="W164" s="397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379">
        <f t="shared" si="9"/>
        <v>0</v>
      </c>
      <c r="AN164" s="308">
        <f t="shared" si="10"/>
        <v>52055</v>
      </c>
      <c r="AO164" s="394"/>
    </row>
    <row r="165" spans="1:41" ht="15">
      <c r="A165" s="537">
        <v>80</v>
      </c>
      <c r="B165" s="323" t="s">
        <v>530</v>
      </c>
      <c r="C165" s="577" t="s">
        <v>749</v>
      </c>
      <c r="D165" s="573">
        <v>717</v>
      </c>
      <c r="E165" s="575">
        <v>699058.17</v>
      </c>
      <c r="F165" s="566" t="s">
        <v>848</v>
      </c>
      <c r="G165" s="387" t="s">
        <v>533</v>
      </c>
      <c r="H165" s="386">
        <f>486.37+H217</f>
        <v>159250.44999999998</v>
      </c>
      <c r="I165" s="386">
        <v>91600</v>
      </c>
      <c r="J165" s="386">
        <v>91600</v>
      </c>
      <c r="K165" s="386">
        <v>91600</v>
      </c>
      <c r="L165" s="386">
        <v>30130</v>
      </c>
      <c r="M165" s="386">
        <v>9640</v>
      </c>
      <c r="N165" s="386">
        <v>9640</v>
      </c>
      <c r="O165" s="386">
        <v>9640</v>
      </c>
      <c r="P165" s="386">
        <v>9640</v>
      </c>
      <c r="Q165" s="386">
        <v>9640</v>
      </c>
      <c r="R165" s="386">
        <v>9640</v>
      </c>
      <c r="S165" s="386">
        <v>9640</v>
      </c>
      <c r="T165" s="386">
        <v>9640</v>
      </c>
      <c r="U165" s="386">
        <v>9640</v>
      </c>
      <c r="V165" s="386">
        <v>9640</v>
      </c>
      <c r="W165" s="386">
        <v>9640</v>
      </c>
      <c r="X165" s="386">
        <v>9640</v>
      </c>
      <c r="Y165" s="386">
        <v>9640</v>
      </c>
      <c r="Z165" s="386">
        <v>9640</v>
      </c>
      <c r="AA165" s="386">
        <v>9640</v>
      </c>
      <c r="AB165" s="386">
        <v>9640</v>
      </c>
      <c r="AC165" s="386">
        <v>9640</v>
      </c>
      <c r="AD165" s="386">
        <v>9640</v>
      </c>
      <c r="AE165" s="386">
        <v>9640</v>
      </c>
      <c r="AF165" s="386">
        <v>9640</v>
      </c>
      <c r="AG165" s="386">
        <v>9640</v>
      </c>
      <c r="AH165" s="386">
        <v>9640</v>
      </c>
      <c r="AI165" s="386">
        <v>9640</v>
      </c>
      <c r="AJ165" s="386">
        <v>9640</v>
      </c>
      <c r="AK165" s="386">
        <v>3517.72</v>
      </c>
      <c r="AL165" s="402"/>
      <c r="AM165" s="384">
        <f t="shared" si="9"/>
        <v>90277.72</v>
      </c>
      <c r="AN165" s="374">
        <f t="shared" si="10"/>
        <v>699058.1699999999</v>
      </c>
      <c r="AO165" s="394"/>
    </row>
    <row r="166" spans="1:41" ht="15">
      <c r="A166" s="538"/>
      <c r="B166" s="391" t="s">
        <v>849</v>
      </c>
      <c r="C166" s="578"/>
      <c r="D166" s="574"/>
      <c r="E166" s="576"/>
      <c r="F166" s="567"/>
      <c r="G166" s="390">
        <v>0.06036</v>
      </c>
      <c r="H166" s="389">
        <v>35560</v>
      </c>
      <c r="I166" s="389">
        <v>30400</v>
      </c>
      <c r="J166" s="389">
        <v>23165</v>
      </c>
      <c r="K166" s="389">
        <v>15740</v>
      </c>
      <c r="L166" s="389">
        <v>10460</v>
      </c>
      <c r="M166" s="389">
        <v>9470</v>
      </c>
      <c r="N166" s="389">
        <v>9075</v>
      </c>
      <c r="O166" s="389">
        <v>8685</v>
      </c>
      <c r="P166" s="389">
        <v>8320</v>
      </c>
      <c r="Q166" s="389">
        <v>7905</v>
      </c>
      <c r="R166" s="389">
        <v>7515</v>
      </c>
      <c r="S166" s="389">
        <v>7120</v>
      </c>
      <c r="T166" s="389">
        <v>6750</v>
      </c>
      <c r="U166" s="389">
        <v>6340</v>
      </c>
      <c r="V166" s="389">
        <v>5950</v>
      </c>
      <c r="W166" s="389">
        <v>5560</v>
      </c>
      <c r="X166" s="392">
        <v>5180</v>
      </c>
      <c r="Y166" s="392">
        <v>4775</v>
      </c>
      <c r="Z166" s="392">
        <v>4385</v>
      </c>
      <c r="AA166" s="392">
        <v>3995</v>
      </c>
      <c r="AB166" s="392">
        <v>3615</v>
      </c>
      <c r="AC166" s="392">
        <v>3215</v>
      </c>
      <c r="AD166" s="392">
        <v>2820</v>
      </c>
      <c r="AE166" s="392">
        <v>2430</v>
      </c>
      <c r="AF166" s="392">
        <v>2045</v>
      </c>
      <c r="AG166" s="392">
        <v>1650</v>
      </c>
      <c r="AH166" s="392">
        <v>1260</v>
      </c>
      <c r="AI166" s="392">
        <v>865</v>
      </c>
      <c r="AJ166" s="392">
        <v>475</v>
      </c>
      <c r="AK166" s="392">
        <v>100</v>
      </c>
      <c r="AL166" s="401"/>
      <c r="AM166" s="379">
        <f t="shared" si="9"/>
        <v>18475</v>
      </c>
      <c r="AN166" s="308">
        <f t="shared" si="10"/>
        <v>234825</v>
      </c>
      <c r="AO166" s="394"/>
    </row>
    <row r="167" spans="1:41" ht="21" customHeight="1">
      <c r="A167" s="537">
        <v>81</v>
      </c>
      <c r="B167" s="323" t="s">
        <v>530</v>
      </c>
      <c r="C167" s="577" t="s">
        <v>497</v>
      </c>
      <c r="D167" s="541">
        <v>718</v>
      </c>
      <c r="E167" s="543">
        <v>741015</v>
      </c>
      <c r="F167" s="556" t="s">
        <v>858</v>
      </c>
      <c r="G167" s="387" t="s">
        <v>533</v>
      </c>
      <c r="H167" s="386">
        <v>0</v>
      </c>
      <c r="I167" s="386">
        <v>0</v>
      </c>
      <c r="J167" s="386">
        <v>2000</v>
      </c>
      <c r="K167" s="386">
        <v>37900</v>
      </c>
      <c r="L167" s="386">
        <v>37900</v>
      </c>
      <c r="M167" s="386">
        <v>37900</v>
      </c>
      <c r="N167" s="386">
        <v>37900</v>
      </c>
      <c r="O167" s="386">
        <v>37900</v>
      </c>
      <c r="P167" s="386">
        <v>37900</v>
      </c>
      <c r="Q167" s="386">
        <v>37900</v>
      </c>
      <c r="R167" s="386">
        <v>37900</v>
      </c>
      <c r="S167" s="386">
        <v>37900</v>
      </c>
      <c r="T167" s="386">
        <v>37900</v>
      </c>
      <c r="U167" s="386">
        <v>37900</v>
      </c>
      <c r="V167" s="386">
        <v>37900</v>
      </c>
      <c r="W167" s="386">
        <v>37900</v>
      </c>
      <c r="X167" s="386">
        <v>37900</v>
      </c>
      <c r="Y167" s="386">
        <v>37900</v>
      </c>
      <c r="Z167" s="386">
        <v>37900</v>
      </c>
      <c r="AA167" s="386">
        <v>37900</v>
      </c>
      <c r="AB167" s="386">
        <v>37900</v>
      </c>
      <c r="AC167" s="386">
        <v>37900</v>
      </c>
      <c r="AD167" s="386">
        <v>18915</v>
      </c>
      <c r="AE167" s="386"/>
      <c r="AF167" s="402"/>
      <c r="AG167" s="402"/>
      <c r="AH167" s="402"/>
      <c r="AI167" s="402"/>
      <c r="AJ167" s="402"/>
      <c r="AK167" s="402"/>
      <c r="AL167" s="402"/>
      <c r="AM167" s="384">
        <f aca="true" t="shared" si="11" ref="AM167:AM198">SUM(AB167:AL167)</f>
        <v>94715</v>
      </c>
      <c r="AN167" s="374">
        <f aca="true" t="shared" si="12" ref="AN167:AN198">SUM(H167:AA167)+AM167</f>
        <v>741015</v>
      </c>
      <c r="AO167" s="394"/>
    </row>
    <row r="168" spans="1:41" ht="21" customHeight="1">
      <c r="A168" s="538"/>
      <c r="B168" s="391" t="s">
        <v>857</v>
      </c>
      <c r="C168" s="578"/>
      <c r="D168" s="542"/>
      <c r="E168" s="544"/>
      <c r="F168" s="551"/>
      <c r="G168" s="390">
        <v>0.05656</v>
      </c>
      <c r="H168" s="389">
        <v>32115</v>
      </c>
      <c r="I168" s="389">
        <v>41325</v>
      </c>
      <c r="J168" s="389">
        <v>38475</v>
      </c>
      <c r="K168" s="389">
        <v>29660</v>
      </c>
      <c r="L168" s="389">
        <v>28280</v>
      </c>
      <c r="M168" s="389">
        <v>26665</v>
      </c>
      <c r="N168" s="389">
        <v>25125</v>
      </c>
      <c r="O168" s="389">
        <v>23590</v>
      </c>
      <c r="P168" s="389">
        <v>22115</v>
      </c>
      <c r="Q168" s="389">
        <v>20515</v>
      </c>
      <c r="R168" s="389">
        <v>18975</v>
      </c>
      <c r="S168" s="389">
        <v>17440</v>
      </c>
      <c r="T168" s="389">
        <v>15950</v>
      </c>
      <c r="U168" s="389">
        <v>14365</v>
      </c>
      <c r="V168" s="389">
        <v>12830</v>
      </c>
      <c r="W168" s="389">
        <v>11290</v>
      </c>
      <c r="X168" s="392">
        <v>9780</v>
      </c>
      <c r="Y168" s="392">
        <v>8220</v>
      </c>
      <c r="Z168" s="392">
        <v>6680</v>
      </c>
      <c r="AA168" s="392">
        <v>5145</v>
      </c>
      <c r="AB168" s="392">
        <v>3615</v>
      </c>
      <c r="AC168" s="392">
        <v>2070</v>
      </c>
      <c r="AD168" s="392">
        <v>555</v>
      </c>
      <c r="AE168" s="401"/>
      <c r="AF168" s="401"/>
      <c r="AG168" s="401"/>
      <c r="AH168" s="401"/>
      <c r="AI168" s="401"/>
      <c r="AJ168" s="401"/>
      <c r="AK168" s="401"/>
      <c r="AL168" s="401"/>
      <c r="AM168" s="379">
        <f t="shared" si="11"/>
        <v>6240</v>
      </c>
      <c r="AN168" s="308">
        <f t="shared" si="12"/>
        <v>414780</v>
      </c>
      <c r="AO168" s="394"/>
    </row>
    <row r="169" spans="1:41" ht="15">
      <c r="A169" s="537">
        <v>82</v>
      </c>
      <c r="B169" s="323" t="s">
        <v>530</v>
      </c>
      <c r="C169" s="539" t="s">
        <v>997</v>
      </c>
      <c r="D169" s="541">
        <v>719</v>
      </c>
      <c r="E169" s="543">
        <v>700000</v>
      </c>
      <c r="F169" s="556" t="s">
        <v>859</v>
      </c>
      <c r="G169" s="387" t="s">
        <v>533</v>
      </c>
      <c r="H169" s="386">
        <v>0</v>
      </c>
      <c r="I169" s="386">
        <v>0</v>
      </c>
      <c r="J169" s="386">
        <v>6500</v>
      </c>
      <c r="K169" s="386">
        <v>20000</v>
      </c>
      <c r="L169" s="386">
        <v>26412</v>
      </c>
      <c r="M169" s="386">
        <v>26412</v>
      </c>
      <c r="N169" s="386">
        <v>26412</v>
      </c>
      <c r="O169" s="386">
        <v>26412</v>
      </c>
      <c r="P169" s="386">
        <v>26412</v>
      </c>
      <c r="Q169" s="386">
        <v>26412</v>
      </c>
      <c r="R169" s="386">
        <v>26412</v>
      </c>
      <c r="S169" s="386">
        <v>26412</v>
      </c>
      <c r="T169" s="386">
        <v>26412</v>
      </c>
      <c r="U169" s="386">
        <v>26412</v>
      </c>
      <c r="V169" s="386">
        <v>26412</v>
      </c>
      <c r="W169" s="386">
        <v>26412</v>
      </c>
      <c r="X169" s="386">
        <v>26412</v>
      </c>
      <c r="Y169" s="386">
        <v>26412</v>
      </c>
      <c r="Z169" s="386">
        <v>26412</v>
      </c>
      <c r="AA169" s="386">
        <v>26412</v>
      </c>
      <c r="AB169" s="386">
        <v>26412</v>
      </c>
      <c r="AC169" s="386">
        <v>26412</v>
      </c>
      <c r="AD169" s="386">
        <v>26412</v>
      </c>
      <c r="AE169" s="386">
        <v>26412</v>
      </c>
      <c r="AF169" s="386">
        <v>26412</v>
      </c>
      <c r="AG169" s="386">
        <v>26412</v>
      </c>
      <c r="AH169" s="386">
        <v>26412</v>
      </c>
      <c r="AI169" s="386">
        <v>26412</v>
      </c>
      <c r="AJ169" s="386">
        <v>26412</v>
      </c>
      <c r="AK169" s="386">
        <v>13200</v>
      </c>
      <c r="AL169" s="403"/>
      <c r="AM169" s="384">
        <f t="shared" si="11"/>
        <v>250908</v>
      </c>
      <c r="AN169" s="374">
        <f t="shared" si="12"/>
        <v>700000</v>
      </c>
      <c r="AO169" s="394"/>
    </row>
    <row r="170" spans="1:41" ht="15">
      <c r="A170" s="538"/>
      <c r="B170" s="391" t="s">
        <v>860</v>
      </c>
      <c r="C170" s="540"/>
      <c r="D170" s="542"/>
      <c r="E170" s="544"/>
      <c r="F170" s="551"/>
      <c r="G170" s="390">
        <v>0.05828</v>
      </c>
      <c r="H170" s="389">
        <v>39310</v>
      </c>
      <c r="I170" s="389">
        <v>38355</v>
      </c>
      <c r="J170" s="389">
        <v>33685</v>
      </c>
      <c r="K170" s="389">
        <v>27985</v>
      </c>
      <c r="L170" s="389">
        <v>27210</v>
      </c>
      <c r="M170" s="389">
        <v>26080</v>
      </c>
      <c r="N170" s="389">
        <v>25010</v>
      </c>
      <c r="O170" s="389">
        <v>23940</v>
      </c>
      <c r="P170" s="389">
        <v>22930</v>
      </c>
      <c r="Q170" s="389">
        <v>21795</v>
      </c>
      <c r="R170" s="389">
        <v>20725</v>
      </c>
      <c r="S170" s="389">
        <v>19655</v>
      </c>
      <c r="T170" s="389">
        <v>18635</v>
      </c>
      <c r="U170" s="389">
        <v>17510</v>
      </c>
      <c r="V170" s="389">
        <v>16440</v>
      </c>
      <c r="W170" s="389">
        <v>15370</v>
      </c>
      <c r="X170" s="392">
        <v>14335</v>
      </c>
      <c r="Y170" s="392">
        <v>13225</v>
      </c>
      <c r="Z170" s="392">
        <v>12155</v>
      </c>
      <c r="AA170" s="392">
        <v>11085</v>
      </c>
      <c r="AB170" s="392">
        <v>10040</v>
      </c>
      <c r="AC170" s="392">
        <v>8940</v>
      </c>
      <c r="AD170" s="392">
        <v>7870</v>
      </c>
      <c r="AE170" s="392">
        <v>6800</v>
      </c>
      <c r="AF170" s="392">
        <v>5745</v>
      </c>
      <c r="AG170" s="392">
        <v>4655</v>
      </c>
      <c r="AH170" s="392">
        <v>3585</v>
      </c>
      <c r="AI170" s="392">
        <v>2515</v>
      </c>
      <c r="AJ170" s="392">
        <v>1450</v>
      </c>
      <c r="AK170" s="392">
        <v>410</v>
      </c>
      <c r="AL170" s="401"/>
      <c r="AM170" s="379">
        <f t="shared" si="11"/>
        <v>52010</v>
      </c>
      <c r="AN170" s="308">
        <f t="shared" si="12"/>
        <v>497445</v>
      </c>
      <c r="AO170" s="394"/>
    </row>
    <row r="171" spans="1:41" ht="15">
      <c r="A171" s="537">
        <v>83</v>
      </c>
      <c r="B171" s="323" t="s">
        <v>530</v>
      </c>
      <c r="C171" s="539" t="s">
        <v>432</v>
      </c>
      <c r="D171" s="541">
        <v>720</v>
      </c>
      <c r="E171" s="543">
        <v>6035628</v>
      </c>
      <c r="F171" s="556" t="s">
        <v>861</v>
      </c>
      <c r="G171" s="387" t="s">
        <v>533</v>
      </c>
      <c r="H171" s="386">
        <f>H221</f>
        <v>103387.86</v>
      </c>
      <c r="I171" s="386">
        <v>0</v>
      </c>
      <c r="J171" s="386">
        <v>5000</v>
      </c>
      <c r="K171" s="386">
        <v>46000</v>
      </c>
      <c r="L171" s="386">
        <v>120000</v>
      </c>
      <c r="M171" s="386">
        <v>201752</v>
      </c>
      <c r="N171" s="386">
        <v>223504</v>
      </c>
      <c r="O171" s="386">
        <v>223504</v>
      </c>
      <c r="P171" s="386">
        <v>223504</v>
      </c>
      <c r="Q171" s="386">
        <v>223504</v>
      </c>
      <c r="R171" s="386">
        <v>223504</v>
      </c>
      <c r="S171" s="386">
        <v>223504</v>
      </c>
      <c r="T171" s="386">
        <v>223504</v>
      </c>
      <c r="U171" s="386">
        <v>223504</v>
      </c>
      <c r="V171" s="386">
        <v>223504</v>
      </c>
      <c r="W171" s="386">
        <v>223504</v>
      </c>
      <c r="X171" s="386">
        <v>223504</v>
      </c>
      <c r="Y171" s="386">
        <v>223504</v>
      </c>
      <c r="Z171" s="386">
        <v>223504</v>
      </c>
      <c r="AA171" s="386">
        <v>223504</v>
      </c>
      <c r="AB171" s="386">
        <v>223504</v>
      </c>
      <c r="AC171" s="386">
        <v>223504</v>
      </c>
      <c r="AD171" s="386">
        <v>223504</v>
      </c>
      <c r="AE171" s="386">
        <v>223504</v>
      </c>
      <c r="AF171" s="386">
        <v>223504</v>
      </c>
      <c r="AG171" s="386">
        <v>223504</v>
      </c>
      <c r="AH171" s="386">
        <v>223504</v>
      </c>
      <c r="AI171" s="386">
        <v>223504</v>
      </c>
      <c r="AJ171" s="386">
        <v>223504</v>
      </c>
      <c r="AK171" s="386">
        <v>167284</v>
      </c>
      <c r="AL171" s="403"/>
      <c r="AM171" s="384">
        <f t="shared" si="11"/>
        <v>2178820</v>
      </c>
      <c r="AN171" s="374">
        <f t="shared" si="12"/>
        <v>5784015.859999999</v>
      </c>
      <c r="AO171" s="394"/>
    </row>
    <row r="172" spans="1:41" ht="15">
      <c r="A172" s="538"/>
      <c r="B172" s="391" t="s">
        <v>862</v>
      </c>
      <c r="C172" s="540"/>
      <c r="D172" s="542"/>
      <c r="E172" s="544"/>
      <c r="F172" s="551"/>
      <c r="G172" s="390">
        <v>0.05668</v>
      </c>
      <c r="H172" s="389">
        <v>263310</v>
      </c>
      <c r="I172" s="389">
        <v>316775</v>
      </c>
      <c r="J172" s="389">
        <v>316760</v>
      </c>
      <c r="K172" s="389">
        <v>229925</v>
      </c>
      <c r="L172" s="389">
        <v>228215</v>
      </c>
      <c r="M172" s="389">
        <v>222220</v>
      </c>
      <c r="N172" s="389">
        <v>213870</v>
      </c>
      <c r="O172" s="389">
        <v>204805</v>
      </c>
      <c r="P172" s="389">
        <v>196280</v>
      </c>
      <c r="Q172" s="389">
        <v>186675</v>
      </c>
      <c r="R172" s="389">
        <v>177610</v>
      </c>
      <c r="S172" s="389">
        <v>168550</v>
      </c>
      <c r="T172" s="389">
        <v>159925</v>
      </c>
      <c r="U172" s="389">
        <v>150420</v>
      </c>
      <c r="V172" s="389">
        <v>141355</v>
      </c>
      <c r="W172" s="389">
        <v>132290</v>
      </c>
      <c r="X172" s="392">
        <v>123570</v>
      </c>
      <c r="Y172" s="392">
        <v>114160</v>
      </c>
      <c r="Z172" s="392">
        <v>105100</v>
      </c>
      <c r="AA172" s="392">
        <v>96035</v>
      </c>
      <c r="AB172" s="392">
        <v>87210</v>
      </c>
      <c r="AC172" s="392">
        <v>77905</v>
      </c>
      <c r="AD172" s="392">
        <v>68840</v>
      </c>
      <c r="AE172" s="392">
        <v>59775</v>
      </c>
      <c r="AF172" s="392">
        <v>50855</v>
      </c>
      <c r="AG172" s="392">
        <v>41645</v>
      </c>
      <c r="AH172" s="392">
        <v>32585</v>
      </c>
      <c r="AI172" s="392">
        <v>23520</v>
      </c>
      <c r="AJ172" s="392">
        <v>14500</v>
      </c>
      <c r="AK172" s="392">
        <v>5390</v>
      </c>
      <c r="AL172" s="401"/>
      <c r="AM172" s="379">
        <f t="shared" si="11"/>
        <v>462225</v>
      </c>
      <c r="AN172" s="308">
        <f t="shared" si="12"/>
        <v>4210075</v>
      </c>
      <c r="AO172" s="394"/>
    </row>
    <row r="173" spans="1:41" ht="15">
      <c r="A173" s="537">
        <v>84</v>
      </c>
      <c r="B173" s="323" t="s">
        <v>530</v>
      </c>
      <c r="C173" s="579" t="s">
        <v>753</v>
      </c>
      <c r="D173" s="573">
        <v>721</v>
      </c>
      <c r="E173" s="575">
        <v>1689037</v>
      </c>
      <c r="F173" s="556" t="s">
        <v>861</v>
      </c>
      <c r="G173" s="387" t="s">
        <v>533</v>
      </c>
      <c r="H173" s="386">
        <v>0</v>
      </c>
      <c r="I173" s="386">
        <v>0</v>
      </c>
      <c r="J173" s="386">
        <v>46065</v>
      </c>
      <c r="K173" s="386">
        <v>61420</v>
      </c>
      <c r="L173" s="386">
        <v>61420</v>
      </c>
      <c r="M173" s="386">
        <v>61420</v>
      </c>
      <c r="N173" s="386">
        <v>61420</v>
      </c>
      <c r="O173" s="386">
        <v>61420</v>
      </c>
      <c r="P173" s="386">
        <v>61420</v>
      </c>
      <c r="Q173" s="386">
        <v>61420</v>
      </c>
      <c r="R173" s="386">
        <v>61420</v>
      </c>
      <c r="S173" s="386">
        <v>61420</v>
      </c>
      <c r="T173" s="386">
        <v>61420</v>
      </c>
      <c r="U173" s="386">
        <v>61420</v>
      </c>
      <c r="V173" s="386">
        <v>61420</v>
      </c>
      <c r="W173" s="386">
        <v>61420</v>
      </c>
      <c r="X173" s="386">
        <v>61420</v>
      </c>
      <c r="Y173" s="386">
        <v>61420</v>
      </c>
      <c r="Z173" s="386">
        <v>61420</v>
      </c>
      <c r="AA173" s="386">
        <v>61420</v>
      </c>
      <c r="AB173" s="386">
        <v>61420</v>
      </c>
      <c r="AC173" s="386">
        <v>61420</v>
      </c>
      <c r="AD173" s="386">
        <v>61420</v>
      </c>
      <c r="AE173" s="386">
        <v>61420</v>
      </c>
      <c r="AF173" s="386">
        <v>61420</v>
      </c>
      <c r="AG173" s="386">
        <v>61420</v>
      </c>
      <c r="AH173" s="386">
        <v>61420</v>
      </c>
      <c r="AI173" s="386">
        <v>61420</v>
      </c>
      <c r="AJ173" s="386">
        <v>61420</v>
      </c>
      <c r="AK173" s="386">
        <v>46052</v>
      </c>
      <c r="AL173" s="403"/>
      <c r="AM173" s="384">
        <f t="shared" si="11"/>
        <v>598832</v>
      </c>
      <c r="AN173" s="374">
        <f t="shared" si="12"/>
        <v>1689037</v>
      </c>
      <c r="AO173" s="394"/>
    </row>
    <row r="174" spans="1:41" ht="15">
      <c r="A174" s="538"/>
      <c r="B174" s="391" t="s">
        <v>863</v>
      </c>
      <c r="C174" s="580"/>
      <c r="D174" s="574"/>
      <c r="E174" s="576"/>
      <c r="F174" s="551"/>
      <c r="G174" s="390">
        <v>0.05626</v>
      </c>
      <c r="H174" s="389">
        <v>85990</v>
      </c>
      <c r="I174" s="389">
        <v>94190</v>
      </c>
      <c r="J174" s="389">
        <v>87520</v>
      </c>
      <c r="K174" s="389">
        <v>66250</v>
      </c>
      <c r="L174" s="389">
        <v>63935</v>
      </c>
      <c r="M174" s="389">
        <v>61270</v>
      </c>
      <c r="N174" s="389">
        <v>58780</v>
      </c>
      <c r="O174" s="389">
        <v>56285</v>
      </c>
      <c r="P174" s="389">
        <v>53945</v>
      </c>
      <c r="Q174" s="389">
        <v>51305</v>
      </c>
      <c r="R174" s="389">
        <v>48815</v>
      </c>
      <c r="S174" s="389">
        <v>46325</v>
      </c>
      <c r="T174" s="389">
        <v>43955</v>
      </c>
      <c r="U174" s="389">
        <v>41340</v>
      </c>
      <c r="V174" s="389">
        <v>38850</v>
      </c>
      <c r="W174" s="389">
        <v>36360</v>
      </c>
      <c r="X174" s="392">
        <v>33960</v>
      </c>
      <c r="Y174" s="392">
        <v>31380</v>
      </c>
      <c r="Z174" s="392">
        <v>28885</v>
      </c>
      <c r="AA174" s="392">
        <v>26395</v>
      </c>
      <c r="AB174" s="392">
        <v>23970</v>
      </c>
      <c r="AC174" s="392">
        <v>21415</v>
      </c>
      <c r="AD174" s="392">
        <v>18925</v>
      </c>
      <c r="AE174" s="392">
        <v>16430</v>
      </c>
      <c r="AF174" s="392">
        <v>13980</v>
      </c>
      <c r="AG174" s="392">
        <v>11450</v>
      </c>
      <c r="AH174" s="392">
        <v>8960</v>
      </c>
      <c r="AI174" s="392">
        <v>6470</v>
      </c>
      <c r="AJ174" s="392">
        <v>3990</v>
      </c>
      <c r="AK174" s="392">
        <v>1485</v>
      </c>
      <c r="AL174" s="401"/>
      <c r="AM174" s="379">
        <f t="shared" si="11"/>
        <v>127075</v>
      </c>
      <c r="AN174" s="308">
        <f t="shared" si="12"/>
        <v>1182810</v>
      </c>
      <c r="AO174" s="394"/>
    </row>
    <row r="175" spans="1:41" ht="15">
      <c r="A175" s="537">
        <v>85</v>
      </c>
      <c r="B175" s="323" t="s">
        <v>530</v>
      </c>
      <c r="C175" s="539" t="s">
        <v>435</v>
      </c>
      <c r="D175" s="541" t="s">
        <v>900</v>
      </c>
      <c r="E175" s="543">
        <v>115654</v>
      </c>
      <c r="F175" s="556" t="s">
        <v>875</v>
      </c>
      <c r="G175" s="387" t="s">
        <v>533</v>
      </c>
      <c r="H175" s="386">
        <f>H220</f>
        <v>115654</v>
      </c>
      <c r="I175" s="386"/>
      <c r="J175" s="386"/>
      <c r="K175" s="386"/>
      <c r="L175" s="386"/>
      <c r="M175" s="386"/>
      <c r="N175" s="386"/>
      <c r="O175" s="386"/>
      <c r="P175" s="386"/>
      <c r="Q175" s="386"/>
      <c r="R175" s="386"/>
      <c r="S175" s="386"/>
      <c r="T175" s="386"/>
      <c r="U175" s="386"/>
      <c r="V175" s="386"/>
      <c r="W175" s="386"/>
      <c r="X175" s="386"/>
      <c r="Y175" s="386"/>
      <c r="Z175" s="386"/>
      <c r="AA175" s="386"/>
      <c r="AB175" s="386"/>
      <c r="AC175" s="386"/>
      <c r="AD175" s="386"/>
      <c r="AE175" s="386"/>
      <c r="AF175" s="386"/>
      <c r="AG175" s="386"/>
      <c r="AH175" s="386"/>
      <c r="AI175" s="386"/>
      <c r="AJ175" s="386"/>
      <c r="AK175" s="386"/>
      <c r="AL175" s="402"/>
      <c r="AM175" s="384">
        <f t="shared" si="11"/>
        <v>0</v>
      </c>
      <c r="AN175" s="374">
        <f t="shared" si="12"/>
        <v>115654</v>
      </c>
      <c r="AO175" s="394"/>
    </row>
    <row r="176" spans="1:41" ht="15">
      <c r="A176" s="538"/>
      <c r="B176" s="391" t="s">
        <v>876</v>
      </c>
      <c r="C176" s="540"/>
      <c r="D176" s="542"/>
      <c r="E176" s="544"/>
      <c r="F176" s="551"/>
      <c r="G176" s="390" t="s">
        <v>899</v>
      </c>
      <c r="H176" s="389">
        <v>2820</v>
      </c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92"/>
      <c r="Y176" s="392"/>
      <c r="Z176" s="392"/>
      <c r="AA176" s="392"/>
      <c r="AB176" s="392"/>
      <c r="AC176" s="392"/>
      <c r="AD176" s="392"/>
      <c r="AE176" s="392"/>
      <c r="AF176" s="392"/>
      <c r="AG176" s="392"/>
      <c r="AH176" s="392"/>
      <c r="AI176" s="392"/>
      <c r="AJ176" s="392"/>
      <c r="AK176" s="392"/>
      <c r="AL176" s="401"/>
      <c r="AM176" s="379">
        <f t="shared" si="11"/>
        <v>0</v>
      </c>
      <c r="AN176" s="308">
        <f t="shared" si="12"/>
        <v>2820</v>
      </c>
      <c r="AO176" s="394"/>
    </row>
    <row r="177" spans="1:41" ht="15">
      <c r="A177" s="537">
        <v>86</v>
      </c>
      <c r="B177" s="323" t="s">
        <v>530</v>
      </c>
      <c r="C177" s="539" t="s">
        <v>851</v>
      </c>
      <c r="D177" s="541" t="s">
        <v>898</v>
      </c>
      <c r="E177" s="543">
        <v>182794.55</v>
      </c>
      <c r="F177" s="556" t="s">
        <v>875</v>
      </c>
      <c r="G177" s="387" t="s">
        <v>533</v>
      </c>
      <c r="H177" s="386">
        <v>0</v>
      </c>
      <c r="I177" s="386">
        <v>0</v>
      </c>
      <c r="J177" s="386">
        <v>7462</v>
      </c>
      <c r="K177" s="386">
        <v>14924</v>
      </c>
      <c r="L177" s="386">
        <v>14924</v>
      </c>
      <c r="M177" s="386">
        <v>14924</v>
      </c>
      <c r="N177" s="386">
        <v>14924</v>
      </c>
      <c r="O177" s="386">
        <v>14924</v>
      </c>
      <c r="P177" s="386">
        <v>14924</v>
      </c>
      <c r="Q177" s="386">
        <v>14924</v>
      </c>
      <c r="R177" s="386">
        <v>14924</v>
      </c>
      <c r="S177" s="386">
        <v>14924</v>
      </c>
      <c r="T177" s="386">
        <v>14924</v>
      </c>
      <c r="U177" s="386">
        <v>14924</v>
      </c>
      <c r="V177" s="386">
        <v>11168.55</v>
      </c>
      <c r="W177" s="386"/>
      <c r="X177" s="403"/>
      <c r="Y177" s="403"/>
      <c r="Z177" s="403"/>
      <c r="AA177" s="403"/>
      <c r="AB177" s="403"/>
      <c r="AC177" s="403"/>
      <c r="AD177" s="403"/>
      <c r="AE177" s="403"/>
      <c r="AF177" s="403"/>
      <c r="AG177" s="403"/>
      <c r="AH177" s="403"/>
      <c r="AI177" s="403"/>
      <c r="AJ177" s="403"/>
      <c r="AK177" s="403"/>
      <c r="AL177" s="403"/>
      <c r="AM177" s="384">
        <f t="shared" si="11"/>
        <v>0</v>
      </c>
      <c r="AN177" s="374">
        <f t="shared" si="12"/>
        <v>182794.55</v>
      </c>
      <c r="AO177" s="394"/>
    </row>
    <row r="178" spans="1:41" ht="15">
      <c r="A178" s="538"/>
      <c r="B178" s="391" t="s">
        <v>877</v>
      </c>
      <c r="C178" s="540"/>
      <c r="D178" s="542"/>
      <c r="E178" s="544"/>
      <c r="F178" s="551"/>
      <c r="G178" s="390">
        <v>0.04694</v>
      </c>
      <c r="H178" s="389">
        <v>7485</v>
      </c>
      <c r="I178" s="389">
        <v>8700</v>
      </c>
      <c r="J178" s="389">
        <v>8695</v>
      </c>
      <c r="K178" s="389">
        <v>8235</v>
      </c>
      <c r="L178" s="389">
        <v>7550</v>
      </c>
      <c r="M178" s="389">
        <v>6815</v>
      </c>
      <c r="N178" s="389">
        <v>6105</v>
      </c>
      <c r="O178" s="389">
        <v>5395</v>
      </c>
      <c r="P178" s="389">
        <v>4700</v>
      </c>
      <c r="Q178" s="389">
        <v>3975</v>
      </c>
      <c r="R178" s="389">
        <v>3265</v>
      </c>
      <c r="S178" s="389">
        <v>2555</v>
      </c>
      <c r="T178" s="389">
        <v>1850</v>
      </c>
      <c r="U178" s="389">
        <v>1135</v>
      </c>
      <c r="V178" s="389">
        <v>425</v>
      </c>
      <c r="W178" s="397"/>
      <c r="X178" s="401"/>
      <c r="Y178" s="401"/>
      <c r="Z178" s="401"/>
      <c r="AA178" s="401"/>
      <c r="AB178" s="401"/>
      <c r="AC178" s="401"/>
      <c r="AD178" s="401"/>
      <c r="AE178" s="401"/>
      <c r="AF178" s="401"/>
      <c r="AG178" s="401"/>
      <c r="AH178" s="401"/>
      <c r="AI178" s="401"/>
      <c r="AJ178" s="401"/>
      <c r="AK178" s="401"/>
      <c r="AL178" s="401"/>
      <c r="AM178" s="379">
        <f t="shared" si="11"/>
        <v>0</v>
      </c>
      <c r="AN178" s="308">
        <f t="shared" si="12"/>
        <v>76885</v>
      </c>
      <c r="AO178" s="394"/>
    </row>
    <row r="179" spans="1:41" ht="18.75" customHeight="1">
      <c r="A179" s="537">
        <v>87</v>
      </c>
      <c r="B179" s="323" t="s">
        <v>530</v>
      </c>
      <c r="C179" s="577" t="s">
        <v>882</v>
      </c>
      <c r="D179" s="541" t="s">
        <v>897</v>
      </c>
      <c r="E179" s="543">
        <v>369620</v>
      </c>
      <c r="F179" s="556" t="s">
        <v>894</v>
      </c>
      <c r="G179" s="387" t="s">
        <v>533</v>
      </c>
      <c r="H179" s="386">
        <v>0</v>
      </c>
      <c r="I179" s="386">
        <v>0</v>
      </c>
      <c r="J179" s="386">
        <v>12630</v>
      </c>
      <c r="K179" s="386">
        <v>25260</v>
      </c>
      <c r="L179" s="386">
        <v>25260</v>
      </c>
      <c r="M179" s="386">
        <v>25260</v>
      </c>
      <c r="N179" s="386">
        <v>25260</v>
      </c>
      <c r="O179" s="386">
        <v>25260</v>
      </c>
      <c r="P179" s="386">
        <v>25260</v>
      </c>
      <c r="Q179" s="386">
        <v>23494</v>
      </c>
      <c r="R179" s="386">
        <v>18196</v>
      </c>
      <c r="S179" s="386">
        <v>18196</v>
      </c>
      <c r="T179" s="386">
        <v>18196</v>
      </c>
      <c r="U179" s="386">
        <v>18196</v>
      </c>
      <c r="V179" s="386">
        <v>18196</v>
      </c>
      <c r="W179" s="386">
        <v>18196</v>
      </c>
      <c r="X179" s="386">
        <v>18196</v>
      </c>
      <c r="Y179" s="386">
        <v>18196</v>
      </c>
      <c r="Z179" s="386">
        <v>18196</v>
      </c>
      <c r="AA179" s="386">
        <v>18172</v>
      </c>
      <c r="AB179" s="403"/>
      <c r="AC179" s="403"/>
      <c r="AD179" s="403"/>
      <c r="AE179" s="403"/>
      <c r="AF179" s="403"/>
      <c r="AG179" s="403"/>
      <c r="AH179" s="403"/>
      <c r="AI179" s="403"/>
      <c r="AJ179" s="403"/>
      <c r="AK179" s="403"/>
      <c r="AL179" s="403"/>
      <c r="AM179" s="384">
        <f t="shared" si="11"/>
        <v>0</v>
      </c>
      <c r="AN179" s="374">
        <f t="shared" si="12"/>
        <v>369620</v>
      </c>
      <c r="AO179" s="394"/>
    </row>
    <row r="180" spans="1:41" ht="18.75" customHeight="1">
      <c r="A180" s="538"/>
      <c r="B180" s="391" t="s">
        <v>896</v>
      </c>
      <c r="C180" s="578"/>
      <c r="D180" s="542"/>
      <c r="E180" s="544"/>
      <c r="F180" s="551"/>
      <c r="G180" s="390">
        <v>0.04887</v>
      </c>
      <c r="H180" s="389">
        <v>13965</v>
      </c>
      <c r="I180" s="389">
        <v>18315</v>
      </c>
      <c r="J180" s="389">
        <v>18310</v>
      </c>
      <c r="K180" s="389">
        <v>17500</v>
      </c>
      <c r="L180" s="389">
        <v>16290</v>
      </c>
      <c r="M180" s="389">
        <v>14995</v>
      </c>
      <c r="N180" s="389">
        <v>13745</v>
      </c>
      <c r="O180" s="389">
        <v>12490</v>
      </c>
      <c r="P180" s="389">
        <v>11270</v>
      </c>
      <c r="Q180" s="389">
        <v>9990</v>
      </c>
      <c r="R180" s="389">
        <v>8880</v>
      </c>
      <c r="S180" s="389">
        <v>7975</v>
      </c>
      <c r="T180" s="389">
        <v>7095</v>
      </c>
      <c r="U180" s="389">
        <v>6175</v>
      </c>
      <c r="V180" s="389">
        <v>5270</v>
      </c>
      <c r="W180" s="389">
        <v>4370</v>
      </c>
      <c r="X180" s="392">
        <v>3480</v>
      </c>
      <c r="Y180" s="392">
        <v>2565</v>
      </c>
      <c r="Z180" s="392">
        <v>1665</v>
      </c>
      <c r="AA180" s="392">
        <v>765</v>
      </c>
      <c r="AB180" s="392">
        <v>50</v>
      </c>
      <c r="AC180" s="401"/>
      <c r="AD180" s="401"/>
      <c r="AE180" s="401"/>
      <c r="AF180" s="401"/>
      <c r="AG180" s="401"/>
      <c r="AH180" s="401"/>
      <c r="AI180" s="401"/>
      <c r="AJ180" s="401"/>
      <c r="AK180" s="401"/>
      <c r="AL180" s="401"/>
      <c r="AM180" s="379">
        <f t="shared" si="11"/>
        <v>50</v>
      </c>
      <c r="AN180" s="308">
        <f t="shared" si="12"/>
        <v>195160</v>
      </c>
      <c r="AO180" s="394"/>
    </row>
    <row r="181" spans="1:41" ht="18.75" customHeight="1">
      <c r="A181" s="537">
        <v>88</v>
      </c>
      <c r="B181" s="323" t="s">
        <v>530</v>
      </c>
      <c r="C181" s="577" t="s">
        <v>996</v>
      </c>
      <c r="D181" s="573" t="s">
        <v>895</v>
      </c>
      <c r="E181" s="575">
        <v>364291</v>
      </c>
      <c r="F181" s="566" t="s">
        <v>894</v>
      </c>
      <c r="G181" s="387" t="s">
        <v>533</v>
      </c>
      <c r="H181" s="386">
        <v>0</v>
      </c>
      <c r="I181" s="386">
        <v>0</v>
      </c>
      <c r="J181" s="386">
        <v>11154</v>
      </c>
      <c r="K181" s="386">
        <v>22308</v>
      </c>
      <c r="L181" s="386">
        <v>22308</v>
      </c>
      <c r="M181" s="386">
        <v>22308</v>
      </c>
      <c r="N181" s="386">
        <v>22308</v>
      </c>
      <c r="O181" s="386">
        <v>22308</v>
      </c>
      <c r="P181" s="386">
        <v>22308</v>
      </c>
      <c r="Q181" s="386">
        <v>21672</v>
      </c>
      <c r="R181" s="386">
        <v>19764</v>
      </c>
      <c r="S181" s="386">
        <v>19764</v>
      </c>
      <c r="T181" s="386">
        <v>19764</v>
      </c>
      <c r="U181" s="386">
        <v>19764</v>
      </c>
      <c r="V181" s="386">
        <v>19764</v>
      </c>
      <c r="W181" s="386">
        <v>19764</v>
      </c>
      <c r="X181" s="386">
        <v>19764</v>
      </c>
      <c r="Y181" s="386">
        <v>19764</v>
      </c>
      <c r="Z181" s="386">
        <v>19764</v>
      </c>
      <c r="AA181" s="386">
        <v>19741</v>
      </c>
      <c r="AB181" s="402"/>
      <c r="AC181" s="402"/>
      <c r="AD181" s="402"/>
      <c r="AE181" s="402"/>
      <c r="AF181" s="402"/>
      <c r="AG181" s="402"/>
      <c r="AH181" s="402"/>
      <c r="AI181" s="402"/>
      <c r="AJ181" s="402"/>
      <c r="AK181" s="402"/>
      <c r="AL181" s="402"/>
      <c r="AM181" s="384">
        <f t="shared" si="11"/>
        <v>0</v>
      </c>
      <c r="AN181" s="374">
        <f t="shared" si="12"/>
        <v>364291</v>
      </c>
      <c r="AO181" s="394"/>
    </row>
    <row r="182" spans="1:41" ht="18.75" customHeight="1">
      <c r="A182" s="538"/>
      <c r="B182" s="391" t="s">
        <v>893</v>
      </c>
      <c r="C182" s="578"/>
      <c r="D182" s="574"/>
      <c r="E182" s="576"/>
      <c r="F182" s="567"/>
      <c r="G182" s="390">
        <v>0.04887</v>
      </c>
      <c r="H182" s="389">
        <v>13745</v>
      </c>
      <c r="I182" s="389">
        <v>18055</v>
      </c>
      <c r="J182" s="389">
        <v>18045</v>
      </c>
      <c r="K182" s="389">
        <v>17330</v>
      </c>
      <c r="L182" s="389">
        <v>16270</v>
      </c>
      <c r="M182" s="389">
        <v>15120</v>
      </c>
      <c r="N182" s="389">
        <v>14015</v>
      </c>
      <c r="O182" s="389">
        <v>12910</v>
      </c>
      <c r="P182" s="389">
        <v>11835</v>
      </c>
      <c r="Q182" s="389">
        <v>10700</v>
      </c>
      <c r="R182" s="389">
        <v>9645</v>
      </c>
      <c r="S182" s="389">
        <v>8665</v>
      </c>
      <c r="T182" s="389">
        <v>7705</v>
      </c>
      <c r="U182" s="389">
        <v>6705</v>
      </c>
      <c r="V182" s="389">
        <v>5725</v>
      </c>
      <c r="W182" s="389">
        <v>4745</v>
      </c>
      <c r="X182" s="392">
        <v>3780</v>
      </c>
      <c r="Y182" s="392">
        <v>2790</v>
      </c>
      <c r="Z182" s="392">
        <v>1810</v>
      </c>
      <c r="AA182" s="392">
        <v>830</v>
      </c>
      <c r="AB182" s="392">
        <v>55</v>
      </c>
      <c r="AC182" s="401"/>
      <c r="AD182" s="401"/>
      <c r="AE182" s="401"/>
      <c r="AF182" s="401"/>
      <c r="AG182" s="401"/>
      <c r="AH182" s="401"/>
      <c r="AI182" s="401"/>
      <c r="AJ182" s="401"/>
      <c r="AK182" s="401"/>
      <c r="AL182" s="401"/>
      <c r="AM182" s="379">
        <f t="shared" si="11"/>
        <v>55</v>
      </c>
      <c r="AN182" s="308">
        <f t="shared" si="12"/>
        <v>200480</v>
      </c>
      <c r="AO182" s="394"/>
    </row>
    <row r="183" spans="1:41" ht="15">
      <c r="A183" s="537">
        <v>89</v>
      </c>
      <c r="B183" s="323" t="s">
        <v>530</v>
      </c>
      <c r="C183" s="539" t="s">
        <v>881</v>
      </c>
      <c r="D183" s="541" t="s">
        <v>892</v>
      </c>
      <c r="E183" s="543">
        <v>394128</v>
      </c>
      <c r="F183" s="566" t="s">
        <v>891</v>
      </c>
      <c r="G183" s="387" t="s">
        <v>533</v>
      </c>
      <c r="H183" s="386">
        <v>0</v>
      </c>
      <c r="I183" s="386">
        <v>0</v>
      </c>
      <c r="J183" s="386">
        <v>15084</v>
      </c>
      <c r="K183" s="386">
        <v>30168</v>
      </c>
      <c r="L183" s="386">
        <v>30168</v>
      </c>
      <c r="M183" s="386">
        <v>30168</v>
      </c>
      <c r="N183" s="386">
        <v>30168</v>
      </c>
      <c r="O183" s="386">
        <v>30168</v>
      </c>
      <c r="P183" s="386">
        <v>30168</v>
      </c>
      <c r="Q183" s="386">
        <v>27942</v>
      </c>
      <c r="R183" s="386">
        <v>21264</v>
      </c>
      <c r="S183" s="386">
        <v>21264</v>
      </c>
      <c r="T183" s="386">
        <v>21264</v>
      </c>
      <c r="U183" s="386">
        <v>21264</v>
      </c>
      <c r="V183" s="386">
        <v>21264</v>
      </c>
      <c r="W183" s="386">
        <v>21264</v>
      </c>
      <c r="X183" s="386">
        <v>21264</v>
      </c>
      <c r="Y183" s="386">
        <v>21246</v>
      </c>
      <c r="Z183" s="402"/>
      <c r="AA183" s="402"/>
      <c r="AB183" s="402"/>
      <c r="AC183" s="402"/>
      <c r="AD183" s="402"/>
      <c r="AE183" s="402"/>
      <c r="AF183" s="402"/>
      <c r="AG183" s="402"/>
      <c r="AH183" s="402"/>
      <c r="AI183" s="402"/>
      <c r="AJ183" s="402"/>
      <c r="AK183" s="402"/>
      <c r="AL183" s="402"/>
      <c r="AM183" s="384">
        <f t="shared" si="11"/>
        <v>0</v>
      </c>
      <c r="AN183" s="374">
        <f t="shared" si="12"/>
        <v>394128</v>
      </c>
      <c r="AO183" s="394"/>
    </row>
    <row r="184" spans="1:41" ht="15">
      <c r="A184" s="538"/>
      <c r="B184" s="391" t="s">
        <v>890</v>
      </c>
      <c r="C184" s="540"/>
      <c r="D184" s="542"/>
      <c r="E184" s="544"/>
      <c r="F184" s="567"/>
      <c r="G184" s="390">
        <v>0.04839</v>
      </c>
      <c r="H184" s="389">
        <v>14785</v>
      </c>
      <c r="I184" s="389">
        <v>19340</v>
      </c>
      <c r="J184" s="389">
        <v>19330</v>
      </c>
      <c r="K184" s="389">
        <v>18370</v>
      </c>
      <c r="L184" s="389">
        <v>16940</v>
      </c>
      <c r="M184" s="389">
        <v>15410</v>
      </c>
      <c r="N184" s="389">
        <v>13930</v>
      </c>
      <c r="O184" s="389">
        <v>12450</v>
      </c>
      <c r="P184" s="389">
        <v>11000</v>
      </c>
      <c r="Q184" s="389">
        <v>9490</v>
      </c>
      <c r="R184" s="389">
        <v>8185</v>
      </c>
      <c r="S184" s="389">
        <v>7145</v>
      </c>
      <c r="T184" s="389">
        <v>6120</v>
      </c>
      <c r="U184" s="389">
        <v>5055</v>
      </c>
      <c r="V184" s="389">
        <v>4015</v>
      </c>
      <c r="W184" s="389">
        <v>2970</v>
      </c>
      <c r="X184" s="392">
        <v>1935</v>
      </c>
      <c r="Y184" s="392">
        <v>885</v>
      </c>
      <c r="Z184" s="392">
        <v>60</v>
      </c>
      <c r="AA184" s="401"/>
      <c r="AB184" s="401"/>
      <c r="AC184" s="401"/>
      <c r="AD184" s="401"/>
      <c r="AE184" s="401"/>
      <c r="AF184" s="401"/>
      <c r="AG184" s="401"/>
      <c r="AH184" s="401"/>
      <c r="AI184" s="401"/>
      <c r="AJ184" s="401"/>
      <c r="AK184" s="401"/>
      <c r="AL184" s="401"/>
      <c r="AM184" s="379">
        <f t="shared" si="11"/>
        <v>0</v>
      </c>
      <c r="AN184" s="308">
        <f t="shared" si="12"/>
        <v>187415</v>
      </c>
      <c r="AO184" s="394"/>
    </row>
    <row r="185" spans="1:41" ht="21.75" customHeight="1">
      <c r="A185" s="537">
        <v>90</v>
      </c>
      <c r="B185" s="323" t="s">
        <v>530</v>
      </c>
      <c r="C185" s="577" t="s">
        <v>995</v>
      </c>
      <c r="D185" s="541" t="s">
        <v>889</v>
      </c>
      <c r="E185" s="543">
        <v>440962</v>
      </c>
      <c r="F185" s="566" t="s">
        <v>888</v>
      </c>
      <c r="G185" s="387" t="s">
        <v>533</v>
      </c>
      <c r="H185" s="386">
        <v>0</v>
      </c>
      <c r="I185" s="386">
        <v>0</v>
      </c>
      <c r="J185" s="386">
        <v>12376</v>
      </c>
      <c r="K185" s="386">
        <v>24752</v>
      </c>
      <c r="L185" s="386">
        <v>24752</v>
      </c>
      <c r="M185" s="386">
        <v>24752</v>
      </c>
      <c r="N185" s="386">
        <v>24752</v>
      </c>
      <c r="O185" s="386">
        <v>24752</v>
      </c>
      <c r="P185" s="386">
        <v>24752</v>
      </c>
      <c r="Q185" s="386">
        <v>23500</v>
      </c>
      <c r="R185" s="386">
        <v>19744</v>
      </c>
      <c r="S185" s="386">
        <v>19744</v>
      </c>
      <c r="T185" s="386">
        <v>19744</v>
      </c>
      <c r="U185" s="386">
        <v>19744</v>
      </c>
      <c r="V185" s="386">
        <v>19744</v>
      </c>
      <c r="W185" s="386">
        <v>19744</v>
      </c>
      <c r="X185" s="386">
        <v>19744</v>
      </c>
      <c r="Y185" s="386">
        <v>19744</v>
      </c>
      <c r="Z185" s="386">
        <v>19744</v>
      </c>
      <c r="AA185" s="386">
        <v>19744</v>
      </c>
      <c r="AB185" s="386">
        <v>19744</v>
      </c>
      <c r="AC185" s="386">
        <v>19744</v>
      </c>
      <c r="AD185" s="386">
        <v>19646</v>
      </c>
      <c r="AE185" s="402"/>
      <c r="AF185" s="402"/>
      <c r="AG185" s="402"/>
      <c r="AH185" s="402"/>
      <c r="AI185" s="402"/>
      <c r="AJ185" s="402"/>
      <c r="AK185" s="402"/>
      <c r="AL185" s="402"/>
      <c r="AM185" s="384">
        <f t="shared" si="11"/>
        <v>59134</v>
      </c>
      <c r="AN185" s="374">
        <f t="shared" si="12"/>
        <v>440962</v>
      </c>
      <c r="AO185" s="394"/>
    </row>
    <row r="186" spans="1:41" ht="21.75" customHeight="1">
      <c r="A186" s="538"/>
      <c r="B186" s="391" t="s">
        <v>887</v>
      </c>
      <c r="C186" s="578"/>
      <c r="D186" s="542"/>
      <c r="E186" s="544"/>
      <c r="F186" s="567"/>
      <c r="G186" s="390">
        <v>0.04892</v>
      </c>
      <c r="H186" s="389">
        <v>17010</v>
      </c>
      <c r="I186" s="389">
        <v>21875</v>
      </c>
      <c r="J186" s="389">
        <v>21865</v>
      </c>
      <c r="K186" s="389">
        <v>21070</v>
      </c>
      <c r="L186" s="389">
        <v>19900</v>
      </c>
      <c r="M186" s="389">
        <v>18615</v>
      </c>
      <c r="N186" s="389">
        <v>17390</v>
      </c>
      <c r="O186" s="389">
        <v>16160</v>
      </c>
      <c r="P186" s="389">
        <v>14975</v>
      </c>
      <c r="Q186" s="389">
        <v>13705</v>
      </c>
      <c r="R186" s="389">
        <v>12580</v>
      </c>
      <c r="S186" s="389">
        <v>11600</v>
      </c>
      <c r="T186" s="389">
        <v>10650</v>
      </c>
      <c r="U186" s="389">
        <v>9640</v>
      </c>
      <c r="V186" s="389">
        <v>8660</v>
      </c>
      <c r="W186" s="389">
        <v>7680</v>
      </c>
      <c r="X186" s="392">
        <v>6720</v>
      </c>
      <c r="Y186" s="392">
        <v>5720</v>
      </c>
      <c r="Z186" s="392">
        <v>4745</v>
      </c>
      <c r="AA186" s="392">
        <v>3765</v>
      </c>
      <c r="AB186" s="392">
        <v>2795</v>
      </c>
      <c r="AC186" s="392">
        <v>1805</v>
      </c>
      <c r="AD186" s="392">
        <v>825</v>
      </c>
      <c r="AE186" s="392">
        <v>55</v>
      </c>
      <c r="AF186" s="401"/>
      <c r="AG186" s="401"/>
      <c r="AH186" s="401"/>
      <c r="AI186" s="401"/>
      <c r="AJ186" s="401"/>
      <c r="AK186" s="401"/>
      <c r="AL186" s="401"/>
      <c r="AM186" s="379">
        <f t="shared" si="11"/>
        <v>5480</v>
      </c>
      <c r="AN186" s="308">
        <f t="shared" si="12"/>
        <v>269805</v>
      </c>
      <c r="AO186" s="394"/>
    </row>
    <row r="187" spans="1:41" ht="15">
      <c r="A187" s="537">
        <v>91</v>
      </c>
      <c r="B187" s="323" t="s">
        <v>530</v>
      </c>
      <c r="C187" s="577" t="s">
        <v>878</v>
      </c>
      <c r="D187" s="573" t="s">
        <v>886</v>
      </c>
      <c r="E187" s="575">
        <v>5433326</v>
      </c>
      <c r="F187" s="566" t="s">
        <v>885</v>
      </c>
      <c r="G187" s="387" t="s">
        <v>533</v>
      </c>
      <c r="H187" s="386">
        <v>0</v>
      </c>
      <c r="I187" s="386">
        <v>0</v>
      </c>
      <c r="J187" s="386">
        <v>98788</v>
      </c>
      <c r="K187" s="386">
        <v>197576</v>
      </c>
      <c r="L187" s="386">
        <v>197576</v>
      </c>
      <c r="M187" s="386">
        <v>197576</v>
      </c>
      <c r="N187" s="386">
        <v>197576</v>
      </c>
      <c r="O187" s="386">
        <v>197576</v>
      </c>
      <c r="P187" s="386">
        <v>197576</v>
      </c>
      <c r="Q187" s="386">
        <v>197576</v>
      </c>
      <c r="R187" s="386">
        <v>197576</v>
      </c>
      <c r="S187" s="386">
        <v>197576</v>
      </c>
      <c r="T187" s="386">
        <v>197576</v>
      </c>
      <c r="U187" s="386">
        <v>197576</v>
      </c>
      <c r="V187" s="386">
        <v>197576</v>
      </c>
      <c r="W187" s="386">
        <v>197576</v>
      </c>
      <c r="X187" s="386">
        <v>197576</v>
      </c>
      <c r="Y187" s="386">
        <v>197576</v>
      </c>
      <c r="Z187" s="386">
        <v>197576</v>
      </c>
      <c r="AA187" s="386">
        <v>197576</v>
      </c>
      <c r="AB187" s="386">
        <v>197576</v>
      </c>
      <c r="AC187" s="386">
        <v>197576</v>
      </c>
      <c r="AD187" s="386">
        <v>197576</v>
      </c>
      <c r="AE187" s="386">
        <v>197576</v>
      </c>
      <c r="AF187" s="386">
        <v>197576</v>
      </c>
      <c r="AG187" s="386">
        <v>197576</v>
      </c>
      <c r="AH187" s="386">
        <v>197576</v>
      </c>
      <c r="AI187" s="386">
        <v>197576</v>
      </c>
      <c r="AJ187" s="386">
        <v>197576</v>
      </c>
      <c r="AK187" s="386">
        <v>197562</v>
      </c>
      <c r="AL187" s="403"/>
      <c r="AM187" s="384">
        <f t="shared" si="11"/>
        <v>1975746</v>
      </c>
      <c r="AN187" s="374">
        <f t="shared" si="12"/>
        <v>5433326</v>
      </c>
      <c r="AO187" s="394"/>
    </row>
    <row r="188" spans="1:41" ht="15">
      <c r="A188" s="538"/>
      <c r="B188" s="391" t="s">
        <v>994</v>
      </c>
      <c r="C188" s="578"/>
      <c r="D188" s="574"/>
      <c r="E188" s="576"/>
      <c r="F188" s="567"/>
      <c r="G188" s="390">
        <v>0.04741</v>
      </c>
      <c r="H188" s="389">
        <v>96255</v>
      </c>
      <c r="I188" s="389">
        <v>242630</v>
      </c>
      <c r="J188" s="389">
        <v>261110</v>
      </c>
      <c r="K188" s="389">
        <v>254960</v>
      </c>
      <c r="L188" s="389">
        <v>246140</v>
      </c>
      <c r="M188" s="389">
        <v>235970</v>
      </c>
      <c r="N188" s="389">
        <v>226470</v>
      </c>
      <c r="O188" s="389">
        <v>216975</v>
      </c>
      <c r="P188" s="389">
        <v>208050</v>
      </c>
      <c r="Q188" s="389">
        <v>197980</v>
      </c>
      <c r="R188" s="389">
        <v>188480</v>
      </c>
      <c r="S188" s="389">
        <v>178985</v>
      </c>
      <c r="T188" s="389">
        <v>169955</v>
      </c>
      <c r="U188" s="389">
        <v>159990</v>
      </c>
      <c r="V188" s="389">
        <v>150495</v>
      </c>
      <c r="W188" s="389">
        <v>140995</v>
      </c>
      <c r="X188" s="392">
        <v>131865</v>
      </c>
      <c r="Y188" s="392">
        <v>122000</v>
      </c>
      <c r="Z188" s="392">
        <v>112505</v>
      </c>
      <c r="AA188" s="392">
        <v>103005</v>
      </c>
      <c r="AB188" s="392">
        <v>93770</v>
      </c>
      <c r="AC188" s="392">
        <v>84015</v>
      </c>
      <c r="AD188" s="392">
        <v>74515</v>
      </c>
      <c r="AE188" s="392">
        <v>65020</v>
      </c>
      <c r="AF188" s="392">
        <v>55675</v>
      </c>
      <c r="AG188" s="392">
        <v>46025</v>
      </c>
      <c r="AH188" s="392">
        <v>36525</v>
      </c>
      <c r="AI188" s="392">
        <v>27030</v>
      </c>
      <c r="AJ188" s="392">
        <v>17585</v>
      </c>
      <c r="AK188" s="392">
        <v>8035</v>
      </c>
      <c r="AL188" s="392">
        <v>530</v>
      </c>
      <c r="AM188" s="379">
        <f t="shared" si="11"/>
        <v>508725</v>
      </c>
      <c r="AN188" s="308">
        <f t="shared" si="12"/>
        <v>4153540</v>
      </c>
      <c r="AO188" s="394"/>
    </row>
    <row r="189" spans="1:41" ht="18.75" customHeight="1">
      <c r="A189" s="537">
        <v>92</v>
      </c>
      <c r="B189" s="323" t="s">
        <v>530</v>
      </c>
      <c r="C189" s="577" t="s">
        <v>883</v>
      </c>
      <c r="D189" s="541" t="s">
        <v>901</v>
      </c>
      <c r="E189" s="543">
        <v>1053313</v>
      </c>
      <c r="F189" s="566" t="s">
        <v>902</v>
      </c>
      <c r="G189" s="387" t="s">
        <v>533</v>
      </c>
      <c r="H189" s="386">
        <v>0</v>
      </c>
      <c r="I189" s="386">
        <v>0</v>
      </c>
      <c r="J189" s="386">
        <v>28388</v>
      </c>
      <c r="K189" s="386">
        <v>56776</v>
      </c>
      <c r="L189" s="386">
        <v>56776</v>
      </c>
      <c r="M189" s="386">
        <v>56776</v>
      </c>
      <c r="N189" s="386">
        <v>56776</v>
      </c>
      <c r="O189" s="386">
        <v>56776</v>
      </c>
      <c r="P189" s="386">
        <v>56776</v>
      </c>
      <c r="Q189" s="386">
        <v>50742</v>
      </c>
      <c r="R189" s="386">
        <v>32640</v>
      </c>
      <c r="S189" s="386">
        <v>32640</v>
      </c>
      <c r="T189" s="386">
        <v>32640</v>
      </c>
      <c r="U189" s="386">
        <v>32640</v>
      </c>
      <c r="V189" s="386">
        <v>32328</v>
      </c>
      <c r="W189" s="386">
        <v>31392</v>
      </c>
      <c r="X189" s="386">
        <v>31392</v>
      </c>
      <c r="Y189" s="386">
        <v>31392</v>
      </c>
      <c r="Z189" s="386">
        <v>31392</v>
      </c>
      <c r="AA189" s="386">
        <v>31392</v>
      </c>
      <c r="AB189" s="386">
        <v>31392</v>
      </c>
      <c r="AC189" s="386">
        <v>31392</v>
      </c>
      <c r="AD189" s="386">
        <v>31392</v>
      </c>
      <c r="AE189" s="386">
        <v>31392</v>
      </c>
      <c r="AF189" s="386">
        <v>31392</v>
      </c>
      <c r="AG189" s="386">
        <v>31392</v>
      </c>
      <c r="AH189" s="386">
        <v>31392</v>
      </c>
      <c r="AI189" s="386">
        <v>31392</v>
      </c>
      <c r="AJ189" s="386">
        <v>31392</v>
      </c>
      <c r="AK189" s="386">
        <v>31151</v>
      </c>
      <c r="AL189" s="402"/>
      <c r="AM189" s="384">
        <f t="shared" si="11"/>
        <v>313679</v>
      </c>
      <c r="AN189" s="374">
        <f t="shared" si="12"/>
        <v>1053313</v>
      </c>
      <c r="AO189" s="394"/>
    </row>
    <row r="190" spans="1:41" ht="18.75" customHeight="1">
      <c r="A190" s="538"/>
      <c r="B190" s="391" t="s">
        <v>903</v>
      </c>
      <c r="C190" s="578"/>
      <c r="D190" s="542"/>
      <c r="E190" s="544"/>
      <c r="F190" s="567"/>
      <c r="G190" s="390" t="s">
        <v>904</v>
      </c>
      <c r="H190" s="389">
        <v>33470</v>
      </c>
      <c r="I190" s="389">
        <v>52490</v>
      </c>
      <c r="J190" s="389">
        <v>52470</v>
      </c>
      <c r="K190" s="389">
        <v>50640</v>
      </c>
      <c r="L190" s="389">
        <v>47945</v>
      </c>
      <c r="M190" s="389">
        <v>44985</v>
      </c>
      <c r="N190" s="389">
        <v>42155</v>
      </c>
      <c r="O190" s="389">
        <v>39325</v>
      </c>
      <c r="P190" s="389">
        <v>36595</v>
      </c>
      <c r="Q190" s="389">
        <v>33665</v>
      </c>
      <c r="R190" s="389">
        <v>31320</v>
      </c>
      <c r="S190" s="389">
        <v>29695</v>
      </c>
      <c r="T190" s="389">
        <v>28145</v>
      </c>
      <c r="U190" s="389">
        <v>26445</v>
      </c>
      <c r="V190" s="389">
        <v>24815</v>
      </c>
      <c r="W190" s="389">
        <v>23215</v>
      </c>
      <c r="X190" s="392">
        <v>21710</v>
      </c>
      <c r="Y190" s="392">
        <v>20085</v>
      </c>
      <c r="Z190" s="392">
        <v>18520</v>
      </c>
      <c r="AA190" s="392">
        <v>16955</v>
      </c>
      <c r="AB190" s="392">
        <v>15435</v>
      </c>
      <c r="AC190" s="392">
        <v>13830</v>
      </c>
      <c r="AD190" s="392">
        <v>12265</v>
      </c>
      <c r="AE190" s="392">
        <v>10700</v>
      </c>
      <c r="AF190" s="392">
        <v>9160</v>
      </c>
      <c r="AG190" s="392">
        <v>7570</v>
      </c>
      <c r="AH190" s="392">
        <v>6005</v>
      </c>
      <c r="AI190" s="392">
        <v>4440</v>
      </c>
      <c r="AJ190" s="392">
        <v>2885</v>
      </c>
      <c r="AK190" s="392">
        <v>1315</v>
      </c>
      <c r="AL190" s="392">
        <v>85</v>
      </c>
      <c r="AM190" s="379">
        <f t="shared" si="11"/>
        <v>83690</v>
      </c>
      <c r="AN190" s="308">
        <f t="shared" si="12"/>
        <v>758335</v>
      </c>
      <c r="AO190" s="394"/>
    </row>
    <row r="191" spans="1:41" ht="18.75" customHeight="1">
      <c r="A191" s="537">
        <v>93</v>
      </c>
      <c r="B191" s="323" t="s">
        <v>530</v>
      </c>
      <c r="C191" s="577" t="s">
        <v>880</v>
      </c>
      <c r="D191" s="573" t="s">
        <v>905</v>
      </c>
      <c r="E191" s="575">
        <v>273339</v>
      </c>
      <c r="F191" s="566" t="s">
        <v>906</v>
      </c>
      <c r="G191" s="387" t="s">
        <v>533</v>
      </c>
      <c r="H191" s="386">
        <v>0</v>
      </c>
      <c r="I191" s="386">
        <v>68336</v>
      </c>
      <c r="J191" s="386">
        <v>68336</v>
      </c>
      <c r="K191" s="386">
        <v>68336</v>
      </c>
      <c r="L191" s="386">
        <v>68331</v>
      </c>
      <c r="M191" s="386"/>
      <c r="N191" s="386"/>
      <c r="O191" s="386"/>
      <c r="P191" s="386"/>
      <c r="Q191" s="386"/>
      <c r="R191" s="386"/>
      <c r="S191" s="386"/>
      <c r="T191" s="386"/>
      <c r="U191" s="386"/>
      <c r="V191" s="386"/>
      <c r="W191" s="386"/>
      <c r="X191" s="402"/>
      <c r="Y191" s="402"/>
      <c r="Z191" s="402"/>
      <c r="AA191" s="402"/>
      <c r="AB191" s="402"/>
      <c r="AC191" s="402"/>
      <c r="AD191" s="402"/>
      <c r="AE191" s="402"/>
      <c r="AF191" s="402"/>
      <c r="AG191" s="402"/>
      <c r="AH191" s="402"/>
      <c r="AI191" s="402"/>
      <c r="AJ191" s="402"/>
      <c r="AK191" s="402"/>
      <c r="AL191" s="402"/>
      <c r="AM191" s="384">
        <f t="shared" si="11"/>
        <v>0</v>
      </c>
      <c r="AN191" s="374">
        <f t="shared" si="12"/>
        <v>273339</v>
      </c>
      <c r="AO191" s="394"/>
    </row>
    <row r="192" spans="1:41" ht="18.75" customHeight="1">
      <c r="A192" s="538"/>
      <c r="B192" s="391" t="s">
        <v>907</v>
      </c>
      <c r="C192" s="578"/>
      <c r="D192" s="574"/>
      <c r="E192" s="576"/>
      <c r="F192" s="567"/>
      <c r="G192" s="390" t="s">
        <v>908</v>
      </c>
      <c r="H192" s="393">
        <v>8750</v>
      </c>
      <c r="I192" s="389">
        <v>10905</v>
      </c>
      <c r="J192" s="389">
        <v>8190</v>
      </c>
      <c r="K192" s="389">
        <v>5310</v>
      </c>
      <c r="L192" s="389">
        <v>2445</v>
      </c>
      <c r="M192" s="389">
        <v>160</v>
      </c>
      <c r="N192" s="397"/>
      <c r="O192" s="397"/>
      <c r="P192" s="397"/>
      <c r="Q192" s="397"/>
      <c r="R192" s="397"/>
      <c r="S192" s="397"/>
      <c r="T192" s="397"/>
      <c r="U192" s="397"/>
      <c r="V192" s="397"/>
      <c r="W192" s="397"/>
      <c r="X192" s="401"/>
      <c r="Y192" s="401"/>
      <c r="Z192" s="401"/>
      <c r="AA192" s="401"/>
      <c r="AB192" s="401"/>
      <c r="AC192" s="401"/>
      <c r="AD192" s="401"/>
      <c r="AE192" s="401"/>
      <c r="AF192" s="401"/>
      <c r="AG192" s="401"/>
      <c r="AH192" s="401"/>
      <c r="AI192" s="401"/>
      <c r="AJ192" s="401"/>
      <c r="AK192" s="401"/>
      <c r="AL192" s="401"/>
      <c r="AM192" s="379">
        <f t="shared" si="11"/>
        <v>0</v>
      </c>
      <c r="AN192" s="308">
        <f t="shared" si="12"/>
        <v>35760</v>
      </c>
      <c r="AO192" s="394"/>
    </row>
    <row r="193" spans="1:41" ht="18.75" customHeight="1">
      <c r="A193" s="537">
        <v>94</v>
      </c>
      <c r="B193" s="323" t="s">
        <v>530</v>
      </c>
      <c r="C193" s="577" t="s">
        <v>884</v>
      </c>
      <c r="D193" s="573" t="s">
        <v>993</v>
      </c>
      <c r="E193" s="575">
        <v>148836</v>
      </c>
      <c r="F193" s="566" t="s">
        <v>992</v>
      </c>
      <c r="G193" s="387" t="s">
        <v>533</v>
      </c>
      <c r="H193" s="386">
        <v>0</v>
      </c>
      <c r="I193" s="386">
        <v>0</v>
      </c>
      <c r="J193" s="386">
        <v>7088</v>
      </c>
      <c r="K193" s="386">
        <v>14176</v>
      </c>
      <c r="L193" s="386">
        <v>14176</v>
      </c>
      <c r="M193" s="386">
        <v>14176</v>
      </c>
      <c r="N193" s="386">
        <v>14176</v>
      </c>
      <c r="O193" s="386">
        <v>14176</v>
      </c>
      <c r="P193" s="386">
        <v>14176</v>
      </c>
      <c r="Q193" s="386">
        <v>14176</v>
      </c>
      <c r="R193" s="386">
        <v>14176</v>
      </c>
      <c r="S193" s="386">
        <v>14176</v>
      </c>
      <c r="T193" s="386">
        <v>14164</v>
      </c>
      <c r="U193" s="400"/>
      <c r="V193" s="400"/>
      <c r="W193" s="399"/>
      <c r="X193" s="398"/>
      <c r="Y193" s="398"/>
      <c r="Z193" s="398"/>
      <c r="AA193" s="398"/>
      <c r="AB193" s="398"/>
      <c r="AC193" s="398"/>
      <c r="AD193" s="398"/>
      <c r="AE193" s="398"/>
      <c r="AF193" s="398"/>
      <c r="AG193" s="398"/>
      <c r="AH193" s="398"/>
      <c r="AI193" s="398"/>
      <c r="AJ193" s="398"/>
      <c r="AK193" s="398"/>
      <c r="AL193" s="398"/>
      <c r="AM193" s="384">
        <f t="shared" si="11"/>
        <v>0</v>
      </c>
      <c r="AN193" s="374">
        <f t="shared" si="12"/>
        <v>148836</v>
      </c>
      <c r="AO193" s="394"/>
    </row>
    <row r="194" spans="1:41" ht="18.75" customHeight="1">
      <c r="A194" s="538"/>
      <c r="B194" s="391" t="s">
        <v>991</v>
      </c>
      <c r="C194" s="578"/>
      <c r="D194" s="574"/>
      <c r="E194" s="576"/>
      <c r="F194" s="567"/>
      <c r="G194" s="390">
        <v>0.04143</v>
      </c>
      <c r="H194" s="389">
        <v>4715</v>
      </c>
      <c r="I194" s="389">
        <v>6255</v>
      </c>
      <c r="J194" s="389">
        <v>6250</v>
      </c>
      <c r="K194" s="389">
        <v>5865</v>
      </c>
      <c r="L194" s="389">
        <v>5285</v>
      </c>
      <c r="M194" s="389">
        <v>4675</v>
      </c>
      <c r="N194" s="389">
        <v>4080</v>
      </c>
      <c r="O194" s="389">
        <v>3485</v>
      </c>
      <c r="P194" s="389">
        <v>2895</v>
      </c>
      <c r="Q194" s="389">
        <v>2290</v>
      </c>
      <c r="R194" s="389">
        <v>1695</v>
      </c>
      <c r="S194" s="389">
        <v>1100</v>
      </c>
      <c r="T194" s="389">
        <v>505</v>
      </c>
      <c r="U194" s="389">
        <v>35</v>
      </c>
      <c r="V194" s="397"/>
      <c r="W194" s="396"/>
      <c r="X194" s="395"/>
      <c r="Y194" s="395"/>
      <c r="Z194" s="395"/>
      <c r="AA194" s="395"/>
      <c r="AB194" s="395"/>
      <c r="AC194" s="395"/>
      <c r="AD194" s="395"/>
      <c r="AE194" s="395"/>
      <c r="AF194" s="395"/>
      <c r="AG194" s="395"/>
      <c r="AH194" s="395"/>
      <c r="AI194" s="395"/>
      <c r="AJ194" s="395"/>
      <c r="AK194" s="395"/>
      <c r="AL194" s="395"/>
      <c r="AM194" s="379">
        <f t="shared" si="11"/>
        <v>0</v>
      </c>
      <c r="AN194" s="308">
        <f t="shared" si="12"/>
        <v>49130</v>
      </c>
      <c r="AO194" s="394"/>
    </row>
    <row r="195" spans="1:41" ht="15">
      <c r="A195" s="537">
        <v>95</v>
      </c>
      <c r="B195" s="323" t="s">
        <v>530</v>
      </c>
      <c r="C195" s="539" t="s">
        <v>990</v>
      </c>
      <c r="D195" s="573" t="s">
        <v>989</v>
      </c>
      <c r="E195" s="543">
        <v>1500000</v>
      </c>
      <c r="F195" s="566" t="s">
        <v>988</v>
      </c>
      <c r="G195" s="387" t="s">
        <v>533</v>
      </c>
      <c r="H195" s="386"/>
      <c r="I195" s="386"/>
      <c r="J195" s="386">
        <v>13637</v>
      </c>
      <c r="K195" s="386">
        <v>54548</v>
      </c>
      <c r="L195" s="386">
        <v>54548</v>
      </c>
      <c r="M195" s="386">
        <v>54548</v>
      </c>
      <c r="N195" s="386">
        <v>54548</v>
      </c>
      <c r="O195" s="386">
        <v>54548</v>
      </c>
      <c r="P195" s="386">
        <v>54548</v>
      </c>
      <c r="Q195" s="386">
        <v>54548</v>
      </c>
      <c r="R195" s="386">
        <v>54548</v>
      </c>
      <c r="S195" s="386">
        <v>54548</v>
      </c>
      <c r="T195" s="386">
        <v>54548</v>
      </c>
      <c r="U195" s="386">
        <v>54548</v>
      </c>
      <c r="V195" s="386">
        <v>54548</v>
      </c>
      <c r="W195" s="386">
        <v>54548</v>
      </c>
      <c r="X195" s="386">
        <v>54548</v>
      </c>
      <c r="Y195" s="386">
        <v>54548</v>
      </c>
      <c r="Z195" s="386">
        <v>54548</v>
      </c>
      <c r="AA195" s="386">
        <v>54548</v>
      </c>
      <c r="AB195" s="386">
        <v>54548</v>
      </c>
      <c r="AC195" s="386">
        <v>54548</v>
      </c>
      <c r="AD195" s="386">
        <v>54548</v>
      </c>
      <c r="AE195" s="386">
        <v>54548</v>
      </c>
      <c r="AF195" s="386">
        <v>54548</v>
      </c>
      <c r="AG195" s="386">
        <v>54548</v>
      </c>
      <c r="AH195" s="386">
        <v>54548</v>
      </c>
      <c r="AI195" s="386">
        <v>54548</v>
      </c>
      <c r="AJ195" s="386">
        <v>54548</v>
      </c>
      <c r="AK195" s="386">
        <v>54548</v>
      </c>
      <c r="AL195" s="386">
        <v>13567</v>
      </c>
      <c r="AM195" s="384">
        <f t="shared" si="11"/>
        <v>559047</v>
      </c>
      <c r="AN195" s="374">
        <f t="shared" si="12"/>
        <v>1500000</v>
      </c>
      <c r="AO195" s="369"/>
    </row>
    <row r="196" spans="1:41" ht="15">
      <c r="A196" s="538"/>
      <c r="B196" s="391" t="s">
        <v>987</v>
      </c>
      <c r="C196" s="540"/>
      <c r="D196" s="574"/>
      <c r="E196" s="544"/>
      <c r="F196" s="567"/>
      <c r="G196" s="390" t="s">
        <v>986</v>
      </c>
      <c r="H196" s="393">
        <v>32160</v>
      </c>
      <c r="I196" s="389">
        <v>63830</v>
      </c>
      <c r="J196" s="389">
        <v>63830</v>
      </c>
      <c r="K196" s="389">
        <v>62895</v>
      </c>
      <c r="L196" s="389">
        <v>60740</v>
      </c>
      <c r="M196" s="389">
        <v>58250</v>
      </c>
      <c r="N196" s="389">
        <v>55930</v>
      </c>
      <c r="O196" s="389">
        <v>53610</v>
      </c>
      <c r="P196" s="389">
        <v>51430</v>
      </c>
      <c r="Q196" s="389">
        <v>48965</v>
      </c>
      <c r="R196" s="389">
        <v>46645</v>
      </c>
      <c r="S196" s="389">
        <v>44325</v>
      </c>
      <c r="T196" s="389">
        <v>42120</v>
      </c>
      <c r="U196" s="389">
        <v>39680</v>
      </c>
      <c r="V196" s="389">
        <v>37360</v>
      </c>
      <c r="W196" s="392">
        <v>35040</v>
      </c>
      <c r="X196" s="392">
        <v>32810</v>
      </c>
      <c r="Y196" s="392">
        <v>30395</v>
      </c>
      <c r="Z196" s="392">
        <v>28075</v>
      </c>
      <c r="AA196" s="392">
        <v>25755</v>
      </c>
      <c r="AB196" s="392">
        <v>23500</v>
      </c>
      <c r="AC196" s="392">
        <v>21115</v>
      </c>
      <c r="AD196" s="392">
        <v>18790</v>
      </c>
      <c r="AE196" s="392">
        <v>16470</v>
      </c>
      <c r="AF196" s="392">
        <v>14190</v>
      </c>
      <c r="AG196" s="392">
        <v>11830</v>
      </c>
      <c r="AH196" s="392">
        <v>9505</v>
      </c>
      <c r="AI196" s="392">
        <v>7185</v>
      </c>
      <c r="AJ196" s="392">
        <v>4880</v>
      </c>
      <c r="AK196" s="392">
        <v>2545</v>
      </c>
      <c r="AL196" s="392">
        <v>400</v>
      </c>
      <c r="AM196" s="379">
        <f t="shared" si="11"/>
        <v>130410</v>
      </c>
      <c r="AN196" s="308">
        <f t="shared" si="12"/>
        <v>1044255</v>
      </c>
      <c r="AO196" s="369"/>
    </row>
    <row r="197" spans="1:41" ht="15">
      <c r="A197" s="537">
        <v>96</v>
      </c>
      <c r="B197" s="323" t="s">
        <v>530</v>
      </c>
      <c r="C197" s="539" t="s">
        <v>432</v>
      </c>
      <c r="D197" s="573" t="s">
        <v>985</v>
      </c>
      <c r="E197" s="575">
        <v>252657</v>
      </c>
      <c r="F197" s="566" t="s">
        <v>984</v>
      </c>
      <c r="G197" s="387" t="s">
        <v>533</v>
      </c>
      <c r="H197" s="386"/>
      <c r="I197" s="386"/>
      <c r="J197" s="386"/>
      <c r="K197" s="386">
        <v>20216</v>
      </c>
      <c r="L197" s="386">
        <v>20216</v>
      </c>
      <c r="M197" s="386">
        <v>20216</v>
      </c>
      <c r="N197" s="386">
        <v>20216</v>
      </c>
      <c r="O197" s="386">
        <v>20216</v>
      </c>
      <c r="P197" s="386">
        <v>20216</v>
      </c>
      <c r="Q197" s="386">
        <v>20216</v>
      </c>
      <c r="R197" s="386">
        <v>20216</v>
      </c>
      <c r="S197" s="386">
        <v>20216</v>
      </c>
      <c r="T197" s="386">
        <v>20216</v>
      </c>
      <c r="U197" s="386">
        <v>20216</v>
      </c>
      <c r="V197" s="386">
        <v>20216</v>
      </c>
      <c r="W197" s="386">
        <v>10065</v>
      </c>
      <c r="X197" s="385"/>
      <c r="Y197" s="385"/>
      <c r="Z197" s="385"/>
      <c r="AA197" s="375"/>
      <c r="AB197" s="375"/>
      <c r="AC197" s="375"/>
      <c r="AD197" s="375"/>
      <c r="AE197" s="375"/>
      <c r="AF197" s="375"/>
      <c r="AG197" s="375"/>
      <c r="AH197" s="375"/>
      <c r="AI197" s="375"/>
      <c r="AJ197" s="375"/>
      <c r="AK197" s="375"/>
      <c r="AL197" s="375"/>
      <c r="AM197" s="384">
        <f t="shared" si="11"/>
        <v>0</v>
      </c>
      <c r="AN197" s="374">
        <f t="shared" si="12"/>
        <v>252657</v>
      </c>
      <c r="AO197" s="369"/>
    </row>
    <row r="198" spans="1:41" ht="15">
      <c r="A198" s="538"/>
      <c r="B198" s="391" t="s">
        <v>983</v>
      </c>
      <c r="C198" s="540"/>
      <c r="D198" s="574"/>
      <c r="E198" s="576"/>
      <c r="F198" s="567"/>
      <c r="G198" s="390">
        <v>0.04116</v>
      </c>
      <c r="H198" s="389">
        <v>5290</v>
      </c>
      <c r="I198" s="389">
        <v>10545</v>
      </c>
      <c r="J198" s="389">
        <v>10545</v>
      </c>
      <c r="K198" s="389">
        <v>10370</v>
      </c>
      <c r="L198" s="389">
        <v>9600</v>
      </c>
      <c r="M198" s="389">
        <v>8730</v>
      </c>
      <c r="N198" s="389">
        <v>7885</v>
      </c>
      <c r="O198" s="389">
        <v>7040</v>
      </c>
      <c r="P198" s="389">
        <v>6215</v>
      </c>
      <c r="Q198" s="389">
        <v>5355</v>
      </c>
      <c r="R198" s="389">
        <v>4510</v>
      </c>
      <c r="S198" s="389">
        <v>3665</v>
      </c>
      <c r="T198" s="389">
        <v>2830</v>
      </c>
      <c r="U198" s="389">
        <v>1980</v>
      </c>
      <c r="V198" s="389">
        <v>1135</v>
      </c>
      <c r="W198" s="389">
        <v>300</v>
      </c>
      <c r="X198" s="380"/>
      <c r="Y198" s="380"/>
      <c r="Z198" s="380"/>
      <c r="AA198" s="370"/>
      <c r="AB198" s="370"/>
      <c r="AC198" s="370"/>
      <c r="AD198" s="370"/>
      <c r="AE198" s="370"/>
      <c r="AF198" s="370"/>
      <c r="AG198" s="370"/>
      <c r="AH198" s="370"/>
      <c r="AI198" s="370"/>
      <c r="AJ198" s="370"/>
      <c r="AK198" s="370"/>
      <c r="AL198" s="370"/>
      <c r="AM198" s="379">
        <f t="shared" si="11"/>
        <v>0</v>
      </c>
      <c r="AN198" s="308">
        <f t="shared" si="12"/>
        <v>95995</v>
      </c>
      <c r="AO198" s="369"/>
    </row>
    <row r="199" spans="1:41" ht="20.25" customHeight="1">
      <c r="A199" s="581">
        <v>97</v>
      </c>
      <c r="B199" s="315" t="s">
        <v>530</v>
      </c>
      <c r="C199" s="583" t="s">
        <v>982</v>
      </c>
      <c r="D199" s="585" t="s">
        <v>981</v>
      </c>
      <c r="E199" s="587">
        <v>343583</v>
      </c>
      <c r="F199" s="589" t="s">
        <v>879</v>
      </c>
      <c r="G199" s="387" t="s">
        <v>533</v>
      </c>
      <c r="H199" s="386">
        <v>0</v>
      </c>
      <c r="I199" s="386">
        <v>0</v>
      </c>
      <c r="J199" s="386">
        <v>0</v>
      </c>
      <c r="K199" s="385">
        <v>28048</v>
      </c>
      <c r="L199" s="385">
        <v>28048</v>
      </c>
      <c r="M199" s="385">
        <v>28048</v>
      </c>
      <c r="N199" s="385">
        <v>28048</v>
      </c>
      <c r="O199" s="385">
        <v>28048</v>
      </c>
      <c r="P199" s="385">
        <v>28048</v>
      </c>
      <c r="Q199" s="385">
        <v>28048</v>
      </c>
      <c r="R199" s="385">
        <v>28048</v>
      </c>
      <c r="S199" s="385">
        <v>28048</v>
      </c>
      <c r="T199" s="385">
        <v>28048</v>
      </c>
      <c r="U199" s="385">
        <v>28048</v>
      </c>
      <c r="V199" s="385">
        <v>28048</v>
      </c>
      <c r="W199" s="385">
        <v>7007</v>
      </c>
      <c r="X199" s="375"/>
      <c r="Y199" s="375"/>
      <c r="Z199" s="375"/>
      <c r="AA199" s="375"/>
      <c r="AB199" s="375"/>
      <c r="AC199" s="375"/>
      <c r="AD199" s="375"/>
      <c r="AE199" s="375"/>
      <c r="AF199" s="375"/>
      <c r="AG199" s="375"/>
      <c r="AH199" s="375"/>
      <c r="AI199" s="375"/>
      <c r="AJ199" s="375"/>
      <c r="AK199" s="375"/>
      <c r="AL199" s="375"/>
      <c r="AM199" s="384">
        <f>SUM(AB199:AL199)</f>
        <v>0</v>
      </c>
      <c r="AN199" s="374">
        <f aca="true" t="shared" si="13" ref="AN199:AN206">SUM(H199:AA199)+AM199</f>
        <v>343583</v>
      </c>
      <c r="AO199" s="369"/>
    </row>
    <row r="200" spans="1:41" ht="20.25" customHeight="1">
      <c r="A200" s="582"/>
      <c r="B200" s="383"/>
      <c r="C200" s="584"/>
      <c r="D200" s="586"/>
      <c r="E200" s="588"/>
      <c r="F200" s="590"/>
      <c r="G200" s="390">
        <v>0.04129</v>
      </c>
      <c r="H200" s="381">
        <v>6810</v>
      </c>
      <c r="I200" s="380">
        <v>14385</v>
      </c>
      <c r="J200" s="380">
        <v>14385</v>
      </c>
      <c r="K200" s="380">
        <v>14140</v>
      </c>
      <c r="L200" s="380">
        <v>13065</v>
      </c>
      <c r="M200" s="380">
        <v>11855</v>
      </c>
      <c r="N200" s="380">
        <v>10685</v>
      </c>
      <c r="O200" s="380">
        <v>9510</v>
      </c>
      <c r="P200" s="380">
        <v>8360</v>
      </c>
      <c r="Q200" s="380">
        <v>7160</v>
      </c>
      <c r="R200" s="380">
        <v>5985</v>
      </c>
      <c r="S200" s="380">
        <v>4810</v>
      </c>
      <c r="T200" s="380">
        <v>3650</v>
      </c>
      <c r="U200" s="380">
        <v>2465</v>
      </c>
      <c r="V200" s="380">
        <v>1290</v>
      </c>
      <c r="W200" s="380">
        <v>205</v>
      </c>
      <c r="X200" s="370"/>
      <c r="Y200" s="370"/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  <c r="AL200" s="370"/>
      <c r="AM200" s="379">
        <f>SUM(AB200:AL200)</f>
        <v>0</v>
      </c>
      <c r="AN200" s="308">
        <f t="shared" si="13"/>
        <v>128760</v>
      </c>
      <c r="AO200" s="369"/>
    </row>
    <row r="201" spans="1:41" ht="15">
      <c r="A201" s="581">
        <v>98</v>
      </c>
      <c r="B201" s="315" t="s">
        <v>530</v>
      </c>
      <c r="C201" s="591" t="s">
        <v>918</v>
      </c>
      <c r="D201" s="585" t="s">
        <v>981</v>
      </c>
      <c r="E201" s="593">
        <v>197141</v>
      </c>
      <c r="F201" s="589" t="s">
        <v>879</v>
      </c>
      <c r="G201" s="387" t="s">
        <v>533</v>
      </c>
      <c r="H201" s="386">
        <v>0</v>
      </c>
      <c r="I201" s="386">
        <v>0</v>
      </c>
      <c r="J201" s="386">
        <v>0</v>
      </c>
      <c r="K201" s="385">
        <v>16092</v>
      </c>
      <c r="L201" s="385">
        <v>16092</v>
      </c>
      <c r="M201" s="385">
        <v>16092</v>
      </c>
      <c r="N201" s="385">
        <v>16092</v>
      </c>
      <c r="O201" s="385">
        <v>16092</v>
      </c>
      <c r="P201" s="385">
        <v>16092</v>
      </c>
      <c r="Q201" s="385">
        <v>16092</v>
      </c>
      <c r="R201" s="385">
        <v>16092</v>
      </c>
      <c r="S201" s="385">
        <v>16092</v>
      </c>
      <c r="T201" s="385">
        <v>16092</v>
      </c>
      <c r="U201" s="385">
        <v>16092</v>
      </c>
      <c r="V201" s="385">
        <v>16092</v>
      </c>
      <c r="W201" s="385">
        <v>4037</v>
      </c>
      <c r="X201" s="375"/>
      <c r="Y201" s="375"/>
      <c r="Z201" s="375"/>
      <c r="AA201" s="375"/>
      <c r="AB201" s="375"/>
      <c r="AC201" s="375"/>
      <c r="AD201" s="375"/>
      <c r="AE201" s="375"/>
      <c r="AF201" s="375"/>
      <c r="AG201" s="375"/>
      <c r="AH201" s="375"/>
      <c r="AI201" s="375"/>
      <c r="AJ201" s="375"/>
      <c r="AK201" s="375"/>
      <c r="AL201" s="375"/>
      <c r="AM201" s="384">
        <f>SUM(AB201:AL201)</f>
        <v>0</v>
      </c>
      <c r="AN201" s="374">
        <f t="shared" si="13"/>
        <v>197141</v>
      </c>
      <c r="AO201" s="369"/>
    </row>
    <row r="202" spans="1:41" ht="15">
      <c r="A202" s="582"/>
      <c r="B202" s="383"/>
      <c r="C202" s="592"/>
      <c r="D202" s="586"/>
      <c r="E202" s="594"/>
      <c r="F202" s="590"/>
      <c r="G202" s="390">
        <v>0.04129</v>
      </c>
      <c r="H202" s="381">
        <v>3240</v>
      </c>
      <c r="I202" s="380">
        <v>8255</v>
      </c>
      <c r="J202" s="380">
        <v>8255</v>
      </c>
      <c r="K202" s="380">
        <v>8115</v>
      </c>
      <c r="L202" s="380">
        <v>7500</v>
      </c>
      <c r="M202" s="380">
        <v>6805</v>
      </c>
      <c r="N202" s="380">
        <v>6130</v>
      </c>
      <c r="O202" s="380">
        <v>5455</v>
      </c>
      <c r="P202" s="380">
        <v>4795</v>
      </c>
      <c r="Q202" s="380">
        <v>4110</v>
      </c>
      <c r="R202" s="380">
        <v>3435</v>
      </c>
      <c r="S202" s="380">
        <v>2760</v>
      </c>
      <c r="T202" s="380">
        <v>2095</v>
      </c>
      <c r="U202" s="380">
        <v>1415</v>
      </c>
      <c r="V202" s="380">
        <v>740</v>
      </c>
      <c r="W202" s="380">
        <v>120</v>
      </c>
      <c r="X202" s="370"/>
      <c r="Y202" s="370"/>
      <c r="Z202" s="370"/>
      <c r="AA202" s="370"/>
      <c r="AB202" s="370"/>
      <c r="AC202" s="370"/>
      <c r="AD202" s="370"/>
      <c r="AE202" s="370"/>
      <c r="AF202" s="370"/>
      <c r="AG202" s="370"/>
      <c r="AH202" s="370"/>
      <c r="AI202" s="370"/>
      <c r="AJ202" s="370"/>
      <c r="AK202" s="370"/>
      <c r="AL202" s="370"/>
      <c r="AM202" s="379">
        <f>SUM(AB202:AL202)</f>
        <v>0</v>
      </c>
      <c r="AN202" s="308">
        <f t="shared" si="13"/>
        <v>73225</v>
      </c>
      <c r="AO202" s="369"/>
    </row>
    <row r="203" spans="1:41" ht="15">
      <c r="A203" s="595">
        <v>99</v>
      </c>
      <c r="B203" s="315" t="s">
        <v>530</v>
      </c>
      <c r="C203" s="591" t="s">
        <v>1010</v>
      </c>
      <c r="D203" s="388" t="s">
        <v>981</v>
      </c>
      <c r="E203" s="593">
        <v>198390</v>
      </c>
      <c r="F203" s="589" t="s">
        <v>879</v>
      </c>
      <c r="G203" s="387" t="s">
        <v>533</v>
      </c>
      <c r="H203" s="461"/>
      <c r="I203" s="385"/>
      <c r="J203" s="385"/>
      <c r="K203" s="385">
        <v>8266</v>
      </c>
      <c r="L203" s="385">
        <v>16532</v>
      </c>
      <c r="M203" s="385">
        <v>16532</v>
      </c>
      <c r="N203" s="385">
        <v>16532</v>
      </c>
      <c r="O203" s="385">
        <v>16532</v>
      </c>
      <c r="P203" s="385">
        <v>16532</v>
      </c>
      <c r="Q203" s="385">
        <v>16532</v>
      </c>
      <c r="R203" s="385">
        <v>16532</v>
      </c>
      <c r="S203" s="385">
        <v>16532</v>
      </c>
      <c r="T203" s="385">
        <v>16532</v>
      </c>
      <c r="U203" s="385">
        <v>16532</v>
      </c>
      <c r="V203" s="385">
        <v>16532</v>
      </c>
      <c r="W203" s="385">
        <v>8272</v>
      </c>
      <c r="X203" s="375"/>
      <c r="Y203" s="375"/>
      <c r="Z203" s="375"/>
      <c r="AA203" s="375"/>
      <c r="AB203" s="375"/>
      <c r="AC203" s="375"/>
      <c r="AD203" s="375"/>
      <c r="AE203" s="375"/>
      <c r="AF203" s="375"/>
      <c r="AG203" s="375"/>
      <c r="AH203" s="375"/>
      <c r="AI203" s="375"/>
      <c r="AJ203" s="375"/>
      <c r="AK203" s="375"/>
      <c r="AL203" s="375"/>
      <c r="AM203" s="375"/>
      <c r="AN203" s="374">
        <f t="shared" si="13"/>
        <v>198390</v>
      </c>
      <c r="AO203" s="369"/>
    </row>
    <row r="204" spans="1:41" ht="15">
      <c r="A204" s="596"/>
      <c r="B204" s="373"/>
      <c r="C204" s="592"/>
      <c r="D204" s="382"/>
      <c r="E204" s="594"/>
      <c r="F204" s="590"/>
      <c r="G204" s="390">
        <v>0.04129</v>
      </c>
      <c r="H204" s="462">
        <v>2095</v>
      </c>
      <c r="I204" s="380">
        <v>8310</v>
      </c>
      <c r="J204" s="380">
        <v>8310</v>
      </c>
      <c r="K204" s="380">
        <v>8305</v>
      </c>
      <c r="L204" s="380">
        <v>7875</v>
      </c>
      <c r="M204" s="380">
        <v>7165</v>
      </c>
      <c r="N204" s="380">
        <v>6470</v>
      </c>
      <c r="O204" s="380">
        <v>5780</v>
      </c>
      <c r="P204" s="380">
        <v>5100</v>
      </c>
      <c r="Q204" s="380">
        <v>4395</v>
      </c>
      <c r="R204" s="380">
        <v>3705</v>
      </c>
      <c r="S204" s="380">
        <v>3010</v>
      </c>
      <c r="T204" s="380">
        <v>2325</v>
      </c>
      <c r="U204" s="380">
        <v>1625</v>
      </c>
      <c r="V204" s="380">
        <v>935</v>
      </c>
      <c r="W204" s="380">
        <v>245</v>
      </c>
      <c r="X204" s="370"/>
      <c r="Y204" s="370"/>
      <c r="Z204" s="370"/>
      <c r="AA204" s="370"/>
      <c r="AB204" s="370"/>
      <c r="AC204" s="370"/>
      <c r="AD204" s="370"/>
      <c r="AE204" s="370"/>
      <c r="AF204" s="370"/>
      <c r="AG204" s="370"/>
      <c r="AH204" s="370"/>
      <c r="AI204" s="370"/>
      <c r="AJ204" s="370"/>
      <c r="AK204" s="370"/>
      <c r="AL204" s="370"/>
      <c r="AM204" s="370"/>
      <c r="AN204" s="308">
        <f t="shared" si="13"/>
        <v>75650</v>
      </c>
      <c r="AO204" s="369"/>
    </row>
    <row r="205" spans="1:41" ht="15" hidden="1">
      <c r="A205" s="597">
        <v>100</v>
      </c>
      <c r="B205" s="378"/>
      <c r="C205" s="599"/>
      <c r="D205" s="601"/>
      <c r="E205" s="603"/>
      <c r="F205" s="605"/>
      <c r="G205" s="377"/>
      <c r="H205" s="376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5"/>
      <c r="AE205" s="375"/>
      <c r="AF205" s="375"/>
      <c r="AG205" s="375"/>
      <c r="AH205" s="375"/>
      <c r="AI205" s="375"/>
      <c r="AJ205" s="375"/>
      <c r="AK205" s="375"/>
      <c r="AL205" s="375"/>
      <c r="AM205" s="375"/>
      <c r="AN205" s="374">
        <f t="shared" si="13"/>
        <v>0</v>
      </c>
      <c r="AO205" s="369"/>
    </row>
    <row r="206" spans="1:41" ht="15" hidden="1">
      <c r="A206" s="598"/>
      <c r="B206" s="373"/>
      <c r="C206" s="600"/>
      <c r="D206" s="602"/>
      <c r="E206" s="604"/>
      <c r="F206" s="606"/>
      <c r="G206" s="372"/>
      <c r="H206" s="371"/>
      <c r="I206" s="370"/>
      <c r="J206" s="370"/>
      <c r="K206" s="370"/>
      <c r="L206" s="370"/>
      <c r="M206" s="370"/>
      <c r="N206" s="370"/>
      <c r="O206" s="370"/>
      <c r="P206" s="370"/>
      <c r="Q206" s="370"/>
      <c r="R206" s="370"/>
      <c r="S206" s="370"/>
      <c r="T206" s="370"/>
      <c r="U206" s="370"/>
      <c r="V206" s="370"/>
      <c r="W206" s="370"/>
      <c r="X206" s="370"/>
      <c r="Y206" s="370"/>
      <c r="Z206" s="370"/>
      <c r="AA206" s="370"/>
      <c r="AB206" s="370"/>
      <c r="AC206" s="370"/>
      <c r="AD206" s="370"/>
      <c r="AE206" s="370"/>
      <c r="AF206" s="370"/>
      <c r="AG206" s="370"/>
      <c r="AH206" s="370"/>
      <c r="AI206" s="370"/>
      <c r="AJ206" s="370"/>
      <c r="AK206" s="370"/>
      <c r="AL206" s="370"/>
      <c r="AM206" s="370"/>
      <c r="AN206" s="308">
        <f t="shared" si="13"/>
        <v>0</v>
      </c>
      <c r="AO206" s="369"/>
    </row>
    <row r="207" spans="1:41" ht="15">
      <c r="A207" s="362"/>
      <c r="B207" s="607" t="s">
        <v>727</v>
      </c>
      <c r="C207" s="607"/>
      <c r="D207" s="607"/>
      <c r="E207" s="607"/>
      <c r="F207" s="607"/>
      <c r="G207" s="368"/>
      <c r="H207" s="110">
        <f aca="true" t="shared" si="14" ref="H207:AN207">SUM(H9+H11+H13+H15+H17+H23+H19+H21+H25+H27+H33+H31+H29+H35+H37+H39)+H41+H43+H45+H7+H47+H49+H51+H125+H127+H129+H131+H133+H135+H137+H139+H141+H143+H145+H147+H149+H151+H153+H155+H157+H159+H161+H163+H53+H55+H57+H61+H59+H63+H65+H67+H87+H69+H71+H73+H75+H77+H79+H81+H83+H85+H89+H91+H93+H95+H97+H99+H101+H103+H105+H107+H109+H111+H113+H115+H117+H119+H121+H123+H205+H165+H167+H169+H171+H173+H175+H177+H179+H181+H183+H185+H195+H197+H203+H187+H189+H191+H193+H199+H201</f>
        <v>4745654.000000001</v>
      </c>
      <c r="I207" s="110">
        <f t="shared" si="14"/>
        <v>5267055.85</v>
      </c>
      <c r="J207" s="110">
        <f t="shared" si="14"/>
        <v>5692671.649999999</v>
      </c>
      <c r="K207" s="110">
        <f t="shared" si="14"/>
        <v>5204438</v>
      </c>
      <c r="L207" s="110">
        <f t="shared" si="14"/>
        <v>4964219.32</v>
      </c>
      <c r="M207" s="110">
        <f t="shared" si="14"/>
        <v>5003568</v>
      </c>
      <c r="N207" s="110">
        <f t="shared" si="14"/>
        <v>5199390</v>
      </c>
      <c r="O207" s="110">
        <f t="shared" si="14"/>
        <v>5307431.66</v>
      </c>
      <c r="P207" s="110">
        <f t="shared" si="14"/>
        <v>5240201.41</v>
      </c>
      <c r="Q207" s="110">
        <f t="shared" si="14"/>
        <v>5114817.23</v>
      </c>
      <c r="R207" s="110">
        <f t="shared" si="14"/>
        <v>4596472.79</v>
      </c>
      <c r="S207" s="110">
        <f t="shared" si="14"/>
        <v>4240281.9399999995</v>
      </c>
      <c r="T207" s="110">
        <f t="shared" si="14"/>
        <v>4165530.29</v>
      </c>
      <c r="U207" s="110">
        <f t="shared" si="14"/>
        <v>4087792.08</v>
      </c>
      <c r="V207" s="110">
        <f t="shared" si="14"/>
        <v>3875668.8</v>
      </c>
      <c r="W207" s="110">
        <f t="shared" si="14"/>
        <v>3732253</v>
      </c>
      <c r="X207" s="110">
        <f t="shared" si="14"/>
        <v>3669316.83</v>
      </c>
      <c r="Y207" s="110">
        <f t="shared" si="14"/>
        <v>3573502.93</v>
      </c>
      <c r="Z207" s="110">
        <f t="shared" si="14"/>
        <v>3398387.04</v>
      </c>
      <c r="AA207" s="110">
        <f t="shared" si="14"/>
        <v>3346062.0300000003</v>
      </c>
      <c r="AB207" s="110">
        <f t="shared" si="14"/>
        <v>3300644</v>
      </c>
      <c r="AC207" s="110">
        <f t="shared" si="14"/>
        <v>3300644</v>
      </c>
      <c r="AD207" s="110">
        <f t="shared" si="14"/>
        <v>3262010</v>
      </c>
      <c r="AE207" s="110">
        <f t="shared" si="14"/>
        <v>2807612.29</v>
      </c>
      <c r="AF207" s="110">
        <f t="shared" si="14"/>
        <v>2337728</v>
      </c>
      <c r="AG207" s="110">
        <f t="shared" si="14"/>
        <v>1608227</v>
      </c>
      <c r="AH207" s="110">
        <f t="shared" si="14"/>
        <v>1342946</v>
      </c>
      <c r="AI207" s="110">
        <f t="shared" si="14"/>
        <v>1004862.3500000001</v>
      </c>
      <c r="AJ207" s="110">
        <f t="shared" si="14"/>
        <v>731238.8300000001</v>
      </c>
      <c r="AK207" s="110">
        <f t="shared" si="14"/>
        <v>521221.41000000003</v>
      </c>
      <c r="AL207" s="110">
        <f t="shared" si="14"/>
        <v>13567</v>
      </c>
      <c r="AM207" s="110">
        <f t="shared" si="14"/>
        <v>20230700.880000003</v>
      </c>
      <c r="AN207" s="110">
        <f t="shared" si="14"/>
        <v>110655415.72999999</v>
      </c>
      <c r="AO207" s="358"/>
    </row>
    <row r="208" spans="1:41" ht="15">
      <c r="A208" s="367"/>
      <c r="B208" s="607" t="s">
        <v>728</v>
      </c>
      <c r="C208" s="607"/>
      <c r="D208" s="607"/>
      <c r="E208" s="607"/>
      <c r="F208" s="607"/>
      <c r="G208" s="366"/>
      <c r="H208" s="110">
        <f aca="true" t="shared" si="15" ref="H208:AN208">SUM(H10+H12+H14+H16+H18+H24+H20+H22+H26+H28+H34+H32+H30+H36+H38+H40)+H42+H44+H46+H8+H48+H50+H52+H126+H128+H130+H132+H134+H136+H138+H140+H142+H144+H146+H148+H150+H152+H154+H156+H158+H160+H162+H164+H54+H56+H58+H62+H60+H64+H66+H68+H88+H70+H72+H74+H76+H78+H80+H82+H84+H86+H90+H92+H94+H96+H98+H100+H102+H104+H106+H108+H110+H112+H114+H116+H118+H120+H122+H124+H206+H166+H168+H170+H172+H174+H176+H178+H180+H182+H184+H186+H196+H198+H204+H188+H190+H192+H194+H200+H202</f>
        <v>4864890</v>
      </c>
      <c r="I208" s="110">
        <f t="shared" si="15"/>
        <v>4939820</v>
      </c>
      <c r="J208" s="110">
        <f t="shared" si="15"/>
        <v>4522115</v>
      </c>
      <c r="K208" s="110">
        <f t="shared" si="15"/>
        <v>3893545</v>
      </c>
      <c r="L208" s="110">
        <f t="shared" si="15"/>
        <v>3625215</v>
      </c>
      <c r="M208" s="110">
        <f t="shared" si="15"/>
        <v>3412598</v>
      </c>
      <c r="N208" s="110">
        <f t="shared" si="15"/>
        <v>3207705</v>
      </c>
      <c r="O208" s="110">
        <f t="shared" si="15"/>
        <v>2995925</v>
      </c>
      <c r="P208" s="110">
        <f t="shared" si="15"/>
        <v>2789090</v>
      </c>
      <c r="Q208" s="110">
        <f t="shared" si="15"/>
        <v>2569625</v>
      </c>
      <c r="R208" s="110">
        <f t="shared" si="15"/>
        <v>2366810</v>
      </c>
      <c r="S208" s="110">
        <f t="shared" si="15"/>
        <v>2182560</v>
      </c>
      <c r="T208" s="110">
        <f t="shared" si="15"/>
        <v>2016480</v>
      </c>
      <c r="U208" s="110">
        <f t="shared" si="15"/>
        <v>1842695</v>
      </c>
      <c r="V208" s="110">
        <f t="shared" si="15"/>
        <v>1677990</v>
      </c>
      <c r="W208" s="110">
        <f t="shared" si="15"/>
        <v>1521795</v>
      </c>
      <c r="X208" s="110">
        <f t="shared" si="15"/>
        <v>1374695</v>
      </c>
      <c r="Y208" s="110">
        <f t="shared" si="15"/>
        <v>1222850</v>
      </c>
      <c r="Z208" s="110">
        <f t="shared" si="15"/>
        <v>1079285</v>
      </c>
      <c r="AA208" s="110">
        <f t="shared" si="15"/>
        <v>942050</v>
      </c>
      <c r="AB208" s="110">
        <f t="shared" si="15"/>
        <v>809400</v>
      </c>
      <c r="AC208" s="110">
        <f t="shared" si="15"/>
        <v>673830</v>
      </c>
      <c r="AD208" s="110">
        <f t="shared" si="15"/>
        <v>540620</v>
      </c>
      <c r="AE208" s="110">
        <f t="shared" si="15"/>
        <v>411305</v>
      </c>
      <c r="AF208" s="110">
        <f t="shared" si="15"/>
        <v>301630</v>
      </c>
      <c r="AG208" s="110">
        <f t="shared" si="15"/>
        <v>209350</v>
      </c>
      <c r="AH208" s="110">
        <f t="shared" si="15"/>
        <v>145185</v>
      </c>
      <c r="AI208" s="110">
        <f t="shared" si="15"/>
        <v>90440</v>
      </c>
      <c r="AJ208" s="110">
        <f t="shared" si="15"/>
        <v>50040</v>
      </c>
      <c r="AK208" s="110">
        <f t="shared" si="15"/>
        <v>19560</v>
      </c>
      <c r="AL208" s="110">
        <f t="shared" si="15"/>
        <v>1015</v>
      </c>
      <c r="AM208" s="110">
        <f t="shared" si="15"/>
        <v>3252375</v>
      </c>
      <c r="AN208" s="110">
        <f t="shared" si="15"/>
        <v>56300113</v>
      </c>
      <c r="AO208" s="358"/>
    </row>
    <row r="209" spans="1:41" ht="15">
      <c r="A209" s="365"/>
      <c r="B209" s="608" t="s">
        <v>729</v>
      </c>
      <c r="C209" s="608"/>
      <c r="D209" s="608"/>
      <c r="E209" s="608"/>
      <c r="F209" s="608"/>
      <c r="G209" s="361"/>
      <c r="H209" s="110">
        <f aca="true" t="shared" si="16" ref="H209:AN209">SUM(H207:H208)</f>
        <v>9610544</v>
      </c>
      <c r="I209" s="110">
        <f t="shared" si="16"/>
        <v>10206875.85</v>
      </c>
      <c r="J209" s="110">
        <f t="shared" si="16"/>
        <v>10214786.649999999</v>
      </c>
      <c r="K209" s="110">
        <f t="shared" si="16"/>
        <v>9097983</v>
      </c>
      <c r="L209" s="110">
        <f t="shared" si="16"/>
        <v>8589434.32</v>
      </c>
      <c r="M209" s="110">
        <f t="shared" si="16"/>
        <v>8416166</v>
      </c>
      <c r="N209" s="110">
        <f t="shared" si="16"/>
        <v>8407095</v>
      </c>
      <c r="O209" s="110">
        <f t="shared" si="16"/>
        <v>8303356.66</v>
      </c>
      <c r="P209" s="110">
        <f t="shared" si="16"/>
        <v>8029291.41</v>
      </c>
      <c r="Q209" s="110">
        <f t="shared" si="16"/>
        <v>7684442.23</v>
      </c>
      <c r="R209" s="110">
        <f t="shared" si="16"/>
        <v>6963282.79</v>
      </c>
      <c r="S209" s="110">
        <f t="shared" si="16"/>
        <v>6422841.9399999995</v>
      </c>
      <c r="T209" s="110">
        <f t="shared" si="16"/>
        <v>6182010.29</v>
      </c>
      <c r="U209" s="110">
        <f t="shared" si="16"/>
        <v>5930487.08</v>
      </c>
      <c r="V209" s="110">
        <f t="shared" si="16"/>
        <v>5553658.8</v>
      </c>
      <c r="W209" s="110">
        <f t="shared" si="16"/>
        <v>5254048</v>
      </c>
      <c r="X209" s="110">
        <f t="shared" si="16"/>
        <v>5044011.83</v>
      </c>
      <c r="Y209" s="110">
        <f t="shared" si="16"/>
        <v>4796352.93</v>
      </c>
      <c r="Z209" s="110">
        <f t="shared" si="16"/>
        <v>4477672.04</v>
      </c>
      <c r="AA209" s="110">
        <f t="shared" si="16"/>
        <v>4288112.03</v>
      </c>
      <c r="AB209" s="110">
        <f t="shared" si="16"/>
        <v>4110044</v>
      </c>
      <c r="AC209" s="110">
        <f t="shared" si="16"/>
        <v>3974474</v>
      </c>
      <c r="AD209" s="110">
        <f t="shared" si="16"/>
        <v>3802630</v>
      </c>
      <c r="AE209" s="110">
        <f t="shared" si="16"/>
        <v>3218917.29</v>
      </c>
      <c r="AF209" s="110">
        <f t="shared" si="16"/>
        <v>2639358</v>
      </c>
      <c r="AG209" s="110">
        <f t="shared" si="16"/>
        <v>1817577</v>
      </c>
      <c r="AH209" s="110">
        <f t="shared" si="16"/>
        <v>1488131</v>
      </c>
      <c r="AI209" s="110">
        <f t="shared" si="16"/>
        <v>1095302.35</v>
      </c>
      <c r="AJ209" s="110">
        <f t="shared" si="16"/>
        <v>781278.8300000001</v>
      </c>
      <c r="AK209" s="110">
        <f t="shared" si="16"/>
        <v>540781.41</v>
      </c>
      <c r="AL209" s="110">
        <f t="shared" si="16"/>
        <v>14582</v>
      </c>
      <c r="AM209" s="110">
        <f t="shared" si="16"/>
        <v>23483075.880000003</v>
      </c>
      <c r="AN209" s="110">
        <f t="shared" si="16"/>
        <v>166955528.73</v>
      </c>
      <c r="AO209" s="358"/>
    </row>
    <row r="210" spans="1:41" ht="15">
      <c r="A210" s="364"/>
      <c r="B210" s="609" t="s">
        <v>730</v>
      </c>
      <c r="C210" s="609"/>
      <c r="D210" s="609"/>
      <c r="E210" s="609"/>
      <c r="F210" s="609"/>
      <c r="G210" s="361" t="s">
        <v>731</v>
      </c>
      <c r="H210" s="360">
        <f aca="true" t="shared" si="17" ref="H210:AL210">SUM(H209/$E$213)</f>
        <v>0.14100394200350505</v>
      </c>
      <c r="I210" s="360">
        <f t="shared" si="17"/>
        <v>0.14975320131621855</v>
      </c>
      <c r="J210" s="360">
        <f t="shared" si="17"/>
        <v>0.14986926696082736</v>
      </c>
      <c r="K210" s="360">
        <f t="shared" si="17"/>
        <v>0.13348375152133687</v>
      </c>
      <c r="L210" s="360">
        <f t="shared" si="17"/>
        <v>0.12602242898010727</v>
      </c>
      <c r="M210" s="360">
        <f t="shared" si="17"/>
        <v>0.1234802715180193</v>
      </c>
      <c r="N210" s="360">
        <f t="shared" si="17"/>
        <v>0.12334718365557219</v>
      </c>
      <c r="O210" s="360">
        <f t="shared" si="17"/>
        <v>0.12182515588306526</v>
      </c>
      <c r="P210" s="360">
        <f t="shared" si="17"/>
        <v>0.11780412641624464</v>
      </c>
      <c r="Q210" s="360">
        <f t="shared" si="17"/>
        <v>0.11274456956112007</v>
      </c>
      <c r="R210" s="360">
        <f t="shared" si="17"/>
        <v>0.10216386529994191</v>
      </c>
      <c r="S210" s="360">
        <f t="shared" si="17"/>
        <v>0.09423462734320137</v>
      </c>
      <c r="T210" s="360">
        <f t="shared" si="17"/>
        <v>0.09070119447933764</v>
      </c>
      <c r="U210" s="360">
        <f t="shared" si="17"/>
        <v>0.0870108972271347</v>
      </c>
      <c r="V210" s="360">
        <f t="shared" si="17"/>
        <v>0.08148214953726401</v>
      </c>
      <c r="W210" s="360">
        <f t="shared" si="17"/>
        <v>0.07708632096951346</v>
      </c>
      <c r="X210" s="360">
        <f t="shared" si="17"/>
        <v>0.07400471310909283</v>
      </c>
      <c r="Y210" s="360">
        <f t="shared" si="17"/>
        <v>0.0703711122252873</v>
      </c>
      <c r="Z210" s="360">
        <f t="shared" si="17"/>
        <v>0.06569549118539764</v>
      </c>
      <c r="AA210" s="360">
        <f t="shared" si="17"/>
        <v>0.06291430536946216</v>
      </c>
      <c r="AB210" s="360">
        <f t="shared" si="17"/>
        <v>0.060301727540902364</v>
      </c>
      <c r="AC210" s="360">
        <f t="shared" si="17"/>
        <v>0.058312672143266686</v>
      </c>
      <c r="AD210" s="360">
        <f t="shared" si="17"/>
        <v>0.05579141201380364</v>
      </c>
      <c r="AE210" s="360">
        <f t="shared" si="17"/>
        <v>0.04722729815016088</v>
      </c>
      <c r="AF210" s="360">
        <f t="shared" si="17"/>
        <v>0.03872412241788676</v>
      </c>
      <c r="AG210" s="360">
        <f t="shared" si="17"/>
        <v>0.026667119144858472</v>
      </c>
      <c r="AH210" s="360">
        <f t="shared" si="17"/>
        <v>0.021833554606026255</v>
      </c>
      <c r="AI210" s="360">
        <f t="shared" si="17"/>
        <v>0.016070052749948684</v>
      </c>
      <c r="AJ210" s="360">
        <f t="shared" si="17"/>
        <v>0.011462763693073598</v>
      </c>
      <c r="AK210" s="360">
        <f t="shared" si="17"/>
        <v>0.007934234583621249</v>
      </c>
      <c r="AL210" s="360">
        <f t="shared" si="17"/>
        <v>0.00021394413076877966</v>
      </c>
      <c r="AM210" s="360"/>
      <c r="AN210" s="363"/>
      <c r="AO210" s="358"/>
    </row>
    <row r="211" spans="1:41" ht="15">
      <c r="A211" s="362"/>
      <c r="B211" s="609" t="s">
        <v>732</v>
      </c>
      <c r="C211" s="609"/>
      <c r="D211" s="609"/>
      <c r="E211" s="609"/>
      <c r="F211" s="609"/>
      <c r="G211" s="361" t="s">
        <v>731</v>
      </c>
      <c r="H211" s="360">
        <f aca="true" t="shared" si="18" ref="H211:AL211">SUM((H209-H215)/$E$213)</f>
        <v>0.13095968321009976</v>
      </c>
      <c r="I211" s="360">
        <f t="shared" si="18"/>
        <v>0.14975320131621855</v>
      </c>
      <c r="J211" s="360">
        <f t="shared" si="18"/>
        <v>0.14986926696082736</v>
      </c>
      <c r="K211" s="360">
        <f t="shared" si="18"/>
        <v>0.13348375152133687</v>
      </c>
      <c r="L211" s="360">
        <f t="shared" si="18"/>
        <v>0.12602242898010727</v>
      </c>
      <c r="M211" s="360">
        <f t="shared" si="18"/>
        <v>0.1234802715180193</v>
      </c>
      <c r="N211" s="360">
        <f t="shared" si="18"/>
        <v>0.12334718365557219</v>
      </c>
      <c r="O211" s="360">
        <f t="shared" si="18"/>
        <v>0.12182515588306526</v>
      </c>
      <c r="P211" s="360">
        <f t="shared" si="18"/>
        <v>0.11780412641624464</v>
      </c>
      <c r="Q211" s="360">
        <f t="shared" si="18"/>
        <v>0.11274456956112007</v>
      </c>
      <c r="R211" s="360">
        <f t="shared" si="18"/>
        <v>0.10216386529994191</v>
      </c>
      <c r="S211" s="360">
        <f t="shared" si="18"/>
        <v>0.09423462734320137</v>
      </c>
      <c r="T211" s="360">
        <f t="shared" si="18"/>
        <v>0.09070119447933764</v>
      </c>
      <c r="U211" s="360">
        <f t="shared" si="18"/>
        <v>0.0870108972271347</v>
      </c>
      <c r="V211" s="360">
        <f t="shared" si="18"/>
        <v>0.08148214953726401</v>
      </c>
      <c r="W211" s="360">
        <f t="shared" si="18"/>
        <v>0.07708632096951346</v>
      </c>
      <c r="X211" s="360">
        <f t="shared" si="18"/>
        <v>0.07400471310909283</v>
      </c>
      <c r="Y211" s="360">
        <f t="shared" si="18"/>
        <v>0.0703711122252873</v>
      </c>
      <c r="Z211" s="360">
        <f t="shared" si="18"/>
        <v>0.06569549118539764</v>
      </c>
      <c r="AA211" s="360">
        <f t="shared" si="18"/>
        <v>0.06291430536946216</v>
      </c>
      <c r="AB211" s="360">
        <f t="shared" si="18"/>
        <v>0.060301727540902364</v>
      </c>
      <c r="AC211" s="360">
        <f t="shared" si="18"/>
        <v>0.058312672143266686</v>
      </c>
      <c r="AD211" s="360">
        <f t="shared" si="18"/>
        <v>0.05579141201380364</v>
      </c>
      <c r="AE211" s="360">
        <f t="shared" si="18"/>
        <v>0.04722729815016088</v>
      </c>
      <c r="AF211" s="360">
        <f t="shared" si="18"/>
        <v>0.03872412241788676</v>
      </c>
      <c r="AG211" s="360">
        <f t="shared" si="18"/>
        <v>0.026667119144858472</v>
      </c>
      <c r="AH211" s="360">
        <f t="shared" si="18"/>
        <v>0.021833554606026255</v>
      </c>
      <c r="AI211" s="360">
        <f t="shared" si="18"/>
        <v>0.016070052749948684</v>
      </c>
      <c r="AJ211" s="360">
        <f t="shared" si="18"/>
        <v>0.011462763693073598</v>
      </c>
      <c r="AK211" s="360">
        <f t="shared" si="18"/>
        <v>0.007934234583621249</v>
      </c>
      <c r="AL211" s="360">
        <f t="shared" si="18"/>
        <v>0.00021394413076877966</v>
      </c>
      <c r="AM211" s="360"/>
      <c r="AN211" s="359"/>
      <c r="AO211" s="358"/>
    </row>
    <row r="212" spans="1:41" ht="15">
      <c r="A212" s="343"/>
      <c r="B212" s="610" t="s">
        <v>733</v>
      </c>
      <c r="C212" s="611"/>
      <c r="D212" s="612"/>
      <c r="E212" s="110">
        <f>SUM(E7:E206)</f>
        <v>143280765.73000002</v>
      </c>
      <c r="F212" s="357"/>
      <c r="G212" s="356"/>
      <c r="H212" s="353"/>
      <c r="I212" s="353"/>
      <c r="J212" s="353"/>
      <c r="K212" s="353"/>
      <c r="L212" s="353"/>
      <c r="M212" s="353"/>
      <c r="N212" s="353"/>
      <c r="O212" s="353"/>
      <c r="P212" s="353"/>
      <c r="Q212" s="353"/>
      <c r="R212" s="353"/>
      <c r="S212" s="353"/>
      <c r="T212" s="353"/>
      <c r="U212" s="353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257"/>
      <c r="AK212" s="257"/>
      <c r="AL212" s="257"/>
      <c r="AM212" s="257"/>
      <c r="AN212" s="353"/>
      <c r="AO212" s="130"/>
    </row>
    <row r="213" spans="1:41" ht="15">
      <c r="A213" s="343"/>
      <c r="B213" s="610" t="s">
        <v>734</v>
      </c>
      <c r="C213" s="611"/>
      <c r="D213" s="612"/>
      <c r="E213" s="470">
        <v>68157981</v>
      </c>
      <c r="F213" s="355"/>
      <c r="G213" s="354"/>
      <c r="H213" s="353"/>
      <c r="I213" s="353"/>
      <c r="J213" s="353"/>
      <c r="K213" s="353"/>
      <c r="L213" s="353"/>
      <c r="M213" s="353"/>
      <c r="N213" s="353"/>
      <c r="O213" s="353"/>
      <c r="P213" s="353"/>
      <c r="Q213" s="353"/>
      <c r="R213" s="353"/>
      <c r="S213" s="353"/>
      <c r="T213" s="353"/>
      <c r="U213" s="353"/>
      <c r="V213" s="257"/>
      <c r="W213" s="257"/>
      <c r="X213" s="257"/>
      <c r="Y213" s="257"/>
      <c r="Z213" s="257"/>
      <c r="AA213" s="257"/>
      <c r="AB213" s="257"/>
      <c r="AC213" s="257"/>
      <c r="AD213" s="257"/>
      <c r="AE213" s="257"/>
      <c r="AF213" s="257"/>
      <c r="AG213" s="257"/>
      <c r="AH213" s="257"/>
      <c r="AI213" s="257"/>
      <c r="AJ213" s="257"/>
      <c r="AK213" s="257"/>
      <c r="AL213" s="257"/>
      <c r="AM213" s="257"/>
      <c r="AN213" s="353"/>
      <c r="AO213" s="130"/>
    </row>
    <row r="214" spans="1:41" ht="15">
      <c r="A214" s="260"/>
      <c r="B214" s="259"/>
      <c r="C214" s="346"/>
      <c r="D214" s="345"/>
      <c r="E214" s="352"/>
      <c r="F214" s="345"/>
      <c r="G214" s="345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256"/>
      <c r="W214" s="256"/>
      <c r="X214" s="256"/>
      <c r="Y214" s="256"/>
      <c r="Z214" s="256"/>
      <c r="AA214" s="256"/>
      <c r="AB214" s="256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344"/>
      <c r="AO214" s="126"/>
    </row>
    <row r="215" spans="1:41" ht="15">
      <c r="A215" s="260"/>
      <c r="B215" s="259"/>
      <c r="C215" s="351"/>
      <c r="D215" s="345"/>
      <c r="E215" s="613" t="s">
        <v>1011</v>
      </c>
      <c r="F215" s="613"/>
      <c r="G215" s="613"/>
      <c r="H215" s="467">
        <f>340075.41+41498.98+H219+H220+H221</f>
        <v>684596.3999999999</v>
      </c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256"/>
      <c r="W215" s="256"/>
      <c r="X215" s="256"/>
      <c r="Y215" s="256"/>
      <c r="Z215" s="256"/>
      <c r="AA215" s="256"/>
      <c r="AB215" s="256"/>
      <c r="AC215" s="256"/>
      <c r="AD215" s="256"/>
      <c r="AE215" s="347"/>
      <c r="AF215" s="256"/>
      <c r="AG215" s="256"/>
      <c r="AH215" s="256"/>
      <c r="AI215" s="256"/>
      <c r="AJ215" s="256"/>
      <c r="AK215" s="256"/>
      <c r="AL215" s="256"/>
      <c r="AM215" s="256"/>
      <c r="AN215" s="344"/>
      <c r="AO215" s="126"/>
    </row>
    <row r="216" spans="1:41" ht="15">
      <c r="A216" s="126"/>
      <c r="B216" s="289"/>
      <c r="C216" s="124"/>
      <c r="D216" s="350"/>
      <c r="E216" s="299"/>
      <c r="F216" s="463" t="s">
        <v>980</v>
      </c>
      <c r="G216" s="464">
        <v>695</v>
      </c>
      <c r="H216" s="465">
        <v>181311.33</v>
      </c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6"/>
      <c r="V216" s="348"/>
      <c r="W216" s="348"/>
      <c r="X216" s="348"/>
      <c r="Y216" s="348"/>
      <c r="Z216" s="348"/>
      <c r="AA216" s="348"/>
      <c r="AB216" s="348"/>
      <c r="AC216" s="348"/>
      <c r="AD216" s="348"/>
      <c r="AE216" s="349"/>
      <c r="AF216" s="348"/>
      <c r="AG216" s="348"/>
      <c r="AH216" s="348"/>
      <c r="AI216" s="348"/>
      <c r="AJ216" s="348"/>
      <c r="AK216" s="348"/>
      <c r="AL216" s="348"/>
      <c r="AM216" s="348"/>
      <c r="AN216" s="129"/>
      <c r="AO216" s="125"/>
    </row>
    <row r="217" spans="1:41" ht="15">
      <c r="A217" s="126"/>
      <c r="B217" s="289"/>
      <c r="C217" s="124"/>
      <c r="D217" s="350"/>
      <c r="E217" s="299"/>
      <c r="F217" s="463" t="s">
        <v>980</v>
      </c>
      <c r="G217" s="464">
        <v>717</v>
      </c>
      <c r="H217" s="465">
        <v>158764.08</v>
      </c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6"/>
      <c r="V217" s="348"/>
      <c r="W217" s="348"/>
      <c r="X217" s="348"/>
      <c r="Y217" s="348"/>
      <c r="Z217" s="348"/>
      <c r="AA217" s="348"/>
      <c r="AB217" s="348"/>
      <c r="AC217" s="348"/>
      <c r="AD217" s="348"/>
      <c r="AE217" s="349"/>
      <c r="AF217" s="348"/>
      <c r="AG217" s="348"/>
      <c r="AH217" s="348"/>
      <c r="AI217" s="348"/>
      <c r="AJ217" s="348"/>
      <c r="AK217" s="348"/>
      <c r="AL217" s="348"/>
      <c r="AM217" s="348"/>
      <c r="AN217" s="129"/>
      <c r="AO217" s="125"/>
    </row>
    <row r="218" spans="1:41" ht="15">
      <c r="A218" s="126"/>
      <c r="B218" s="289"/>
      <c r="C218" s="124"/>
      <c r="D218" s="350"/>
      <c r="E218" s="299"/>
      <c r="F218" s="463" t="s">
        <v>979</v>
      </c>
      <c r="G218" s="464">
        <v>714</v>
      </c>
      <c r="H218" s="465">
        <v>41498.98</v>
      </c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6"/>
      <c r="V218" s="348"/>
      <c r="W218" s="348"/>
      <c r="X218" s="348"/>
      <c r="Y218" s="348"/>
      <c r="Z218" s="348"/>
      <c r="AA218" s="348"/>
      <c r="AB218" s="348"/>
      <c r="AC218" s="348"/>
      <c r="AD218" s="348"/>
      <c r="AE218" s="349"/>
      <c r="AF218" s="348"/>
      <c r="AG218" s="348"/>
      <c r="AH218" s="348"/>
      <c r="AI218" s="348"/>
      <c r="AJ218" s="348"/>
      <c r="AK218" s="348"/>
      <c r="AL218" s="348"/>
      <c r="AM218" s="348"/>
      <c r="AN218" s="129"/>
      <c r="AO218" s="125"/>
    </row>
    <row r="219" spans="1:41" ht="15">
      <c r="A219" s="126"/>
      <c r="B219" s="289"/>
      <c r="C219" s="124"/>
      <c r="D219" s="350"/>
      <c r="E219" s="299"/>
      <c r="F219" s="463" t="s">
        <v>978</v>
      </c>
      <c r="G219" s="464">
        <v>699</v>
      </c>
      <c r="H219" s="465">
        <v>83980.15</v>
      </c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6"/>
      <c r="V219" s="348"/>
      <c r="W219" s="348"/>
      <c r="X219" s="348"/>
      <c r="Y219" s="348"/>
      <c r="Z219" s="348"/>
      <c r="AA219" s="348"/>
      <c r="AB219" s="348"/>
      <c r="AC219" s="348"/>
      <c r="AD219" s="348"/>
      <c r="AE219" s="349"/>
      <c r="AF219" s="348"/>
      <c r="AG219" s="348"/>
      <c r="AH219" s="348"/>
      <c r="AI219" s="348"/>
      <c r="AJ219" s="348"/>
      <c r="AK219" s="348"/>
      <c r="AL219" s="348"/>
      <c r="AM219" s="348"/>
      <c r="AN219" s="129"/>
      <c r="AO219" s="125"/>
    </row>
    <row r="220" spans="1:41" ht="15">
      <c r="A220" s="126"/>
      <c r="B220" s="289"/>
      <c r="C220" s="124"/>
      <c r="D220" s="350"/>
      <c r="E220" s="299"/>
      <c r="F220" s="463" t="s">
        <v>978</v>
      </c>
      <c r="G220" s="464" t="s">
        <v>900</v>
      </c>
      <c r="H220" s="465">
        <v>115654</v>
      </c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6"/>
      <c r="V220" s="348"/>
      <c r="W220" s="348"/>
      <c r="X220" s="348"/>
      <c r="Y220" s="348"/>
      <c r="Z220" s="348"/>
      <c r="AA220" s="348"/>
      <c r="AB220" s="348"/>
      <c r="AC220" s="348"/>
      <c r="AD220" s="348"/>
      <c r="AE220" s="349"/>
      <c r="AF220" s="348"/>
      <c r="AG220" s="348"/>
      <c r="AH220" s="348"/>
      <c r="AI220" s="348"/>
      <c r="AJ220" s="348"/>
      <c r="AK220" s="348"/>
      <c r="AL220" s="348"/>
      <c r="AM220" s="348"/>
      <c r="AN220" s="129"/>
      <c r="AO220" s="125"/>
    </row>
    <row r="221" spans="1:41" ht="15">
      <c r="A221" s="126"/>
      <c r="B221" s="289"/>
      <c r="C221" s="124"/>
      <c r="D221" s="350"/>
      <c r="E221" s="299"/>
      <c r="F221" s="463" t="s">
        <v>977</v>
      </c>
      <c r="G221" s="464">
        <v>720</v>
      </c>
      <c r="H221" s="465">
        <v>103387.86</v>
      </c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6"/>
      <c r="V221" s="348"/>
      <c r="W221" s="348"/>
      <c r="X221" s="348"/>
      <c r="Y221" s="348"/>
      <c r="Z221" s="348"/>
      <c r="AA221" s="348"/>
      <c r="AB221" s="348"/>
      <c r="AC221" s="348"/>
      <c r="AD221" s="348"/>
      <c r="AE221" s="349"/>
      <c r="AF221" s="348"/>
      <c r="AG221" s="348"/>
      <c r="AH221" s="348"/>
      <c r="AI221" s="348"/>
      <c r="AJ221" s="348"/>
      <c r="AK221" s="348"/>
      <c r="AL221" s="348"/>
      <c r="AM221" s="348"/>
      <c r="AN221" s="129"/>
      <c r="AO221" s="125"/>
    </row>
    <row r="222" spans="1:41" ht="15">
      <c r="A222" s="260"/>
      <c r="B222" s="259"/>
      <c r="C222" s="346"/>
      <c r="D222" s="345"/>
      <c r="E222" s="614" t="s">
        <v>976</v>
      </c>
      <c r="F222" s="614"/>
      <c r="G222" s="614"/>
      <c r="H222" s="468">
        <v>4061057.6</v>
      </c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0"/>
      <c r="W222" s="340"/>
      <c r="X222" s="340"/>
      <c r="Y222" s="340"/>
      <c r="Z222" s="340"/>
      <c r="AA222" s="340"/>
      <c r="AB222" s="340"/>
      <c r="AC222" s="340"/>
      <c r="AD222" s="340"/>
      <c r="AE222" s="340"/>
      <c r="AF222" s="340"/>
      <c r="AG222" s="340"/>
      <c r="AH222" s="340"/>
      <c r="AI222" s="340"/>
      <c r="AJ222" s="340"/>
      <c r="AK222" s="340"/>
      <c r="AL222" s="340"/>
      <c r="AM222" s="340"/>
      <c r="AN222" s="344"/>
      <c r="AO222" s="126"/>
    </row>
    <row r="223" spans="1:41" ht="15">
      <c r="A223" s="260"/>
      <c r="B223" s="259"/>
      <c r="C223" s="346"/>
      <c r="D223" s="345"/>
      <c r="E223" s="615" t="s">
        <v>975</v>
      </c>
      <c r="F223" s="615"/>
      <c r="G223" s="615"/>
      <c r="H223" s="466">
        <f>H215+H222</f>
        <v>4745654</v>
      </c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0"/>
      <c r="W223" s="340"/>
      <c r="X223" s="340"/>
      <c r="Y223" s="340"/>
      <c r="Z223" s="340"/>
      <c r="AA223" s="340"/>
      <c r="AB223" s="340"/>
      <c r="AC223" s="340"/>
      <c r="AD223" s="340"/>
      <c r="AE223" s="340"/>
      <c r="AF223" s="340"/>
      <c r="AG223" s="340"/>
      <c r="AH223" s="340"/>
      <c r="AI223" s="340"/>
      <c r="AJ223" s="340"/>
      <c r="AK223" s="340"/>
      <c r="AL223" s="340"/>
      <c r="AM223" s="340"/>
      <c r="AN223" s="344"/>
      <c r="AO223" s="126"/>
    </row>
    <row r="224" spans="1:41" ht="15">
      <c r="A224" s="260"/>
      <c r="B224" s="259"/>
      <c r="C224" s="258"/>
      <c r="D224" s="343"/>
      <c r="E224" s="342"/>
      <c r="F224" s="341"/>
      <c r="G224" s="341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256"/>
      <c r="W224" s="256"/>
      <c r="X224" s="256"/>
      <c r="Y224" s="256"/>
      <c r="Z224" s="256"/>
      <c r="AA224" s="256"/>
      <c r="AB224" s="256"/>
      <c r="AC224" s="256"/>
      <c r="AD224" s="256"/>
      <c r="AE224" s="256"/>
      <c r="AF224" s="256"/>
      <c r="AG224" s="256"/>
      <c r="AH224" s="256"/>
      <c r="AI224" s="256"/>
      <c r="AJ224" s="256"/>
      <c r="AK224" s="256"/>
      <c r="AL224" s="256"/>
      <c r="AM224" s="256"/>
      <c r="AN224" s="339"/>
      <c r="AO224" s="126"/>
    </row>
    <row r="225" spans="1:41" ht="15">
      <c r="A225" s="260"/>
      <c r="B225" s="259"/>
      <c r="C225" s="616" t="s">
        <v>735</v>
      </c>
      <c r="D225" s="616"/>
      <c r="E225" s="616"/>
      <c r="F225" s="616"/>
      <c r="G225" s="616"/>
      <c r="H225" s="337" t="s">
        <v>965</v>
      </c>
      <c r="I225" s="338">
        <f aca="true" t="shared" si="19" ref="I225:AM225">I207-H207</f>
        <v>521401.8499999987</v>
      </c>
      <c r="J225" s="338">
        <f t="shared" si="19"/>
        <v>425615.7999999998</v>
      </c>
      <c r="K225" s="338">
        <f t="shared" si="19"/>
        <v>-488233.64999999944</v>
      </c>
      <c r="L225" s="338">
        <f t="shared" si="19"/>
        <v>-240218.6799999997</v>
      </c>
      <c r="M225" s="338">
        <f t="shared" si="19"/>
        <v>39348.6799999997</v>
      </c>
      <c r="N225" s="338">
        <f t="shared" si="19"/>
        <v>195822</v>
      </c>
      <c r="O225" s="338">
        <f t="shared" si="19"/>
        <v>108041.66000000015</v>
      </c>
      <c r="P225" s="338">
        <f t="shared" si="19"/>
        <v>-67230.25</v>
      </c>
      <c r="Q225" s="338">
        <f t="shared" si="19"/>
        <v>-125384.1799999997</v>
      </c>
      <c r="R225" s="338">
        <f t="shared" si="19"/>
        <v>-518344.4400000004</v>
      </c>
      <c r="S225" s="338">
        <f t="shared" si="19"/>
        <v>-356190.85000000056</v>
      </c>
      <c r="T225" s="338">
        <f t="shared" si="19"/>
        <v>-74751.64999999944</v>
      </c>
      <c r="U225" s="338">
        <f t="shared" si="19"/>
        <v>-77738.20999999996</v>
      </c>
      <c r="V225" s="338">
        <f t="shared" si="19"/>
        <v>-212123.28000000026</v>
      </c>
      <c r="W225" s="338">
        <f t="shared" si="19"/>
        <v>-143415.7999999998</v>
      </c>
      <c r="X225" s="338">
        <f t="shared" si="19"/>
        <v>-62936.169999999925</v>
      </c>
      <c r="Y225" s="338">
        <f t="shared" si="19"/>
        <v>-95813.8999999999</v>
      </c>
      <c r="Z225" s="338">
        <f t="shared" si="19"/>
        <v>-175115.89000000013</v>
      </c>
      <c r="AA225" s="338">
        <f t="shared" si="19"/>
        <v>-52325.00999999978</v>
      </c>
      <c r="AB225" s="338">
        <f t="shared" si="19"/>
        <v>-45418.03000000026</v>
      </c>
      <c r="AC225" s="338">
        <f t="shared" si="19"/>
        <v>0</v>
      </c>
      <c r="AD225" s="338">
        <f t="shared" si="19"/>
        <v>-38634</v>
      </c>
      <c r="AE225" s="338">
        <f t="shared" si="19"/>
        <v>-454397.70999999996</v>
      </c>
      <c r="AF225" s="338">
        <f t="shared" si="19"/>
        <v>-469884.29000000004</v>
      </c>
      <c r="AG225" s="338">
        <f t="shared" si="19"/>
        <v>-729501</v>
      </c>
      <c r="AH225" s="338">
        <f t="shared" si="19"/>
        <v>-265281</v>
      </c>
      <c r="AI225" s="338">
        <f t="shared" si="19"/>
        <v>-338083.6499999999</v>
      </c>
      <c r="AJ225" s="338">
        <f t="shared" si="19"/>
        <v>-273623.52</v>
      </c>
      <c r="AK225" s="338">
        <f t="shared" si="19"/>
        <v>-210017.42000000004</v>
      </c>
      <c r="AL225" s="338">
        <f t="shared" si="19"/>
        <v>-507654.41000000003</v>
      </c>
      <c r="AM225" s="338">
        <f t="shared" si="19"/>
        <v>20217133.880000003</v>
      </c>
      <c r="AN225" s="337" t="s">
        <v>965</v>
      </c>
      <c r="AO225" s="134"/>
    </row>
    <row r="226" spans="1:41" ht="15">
      <c r="A226" s="260"/>
      <c r="B226" s="259"/>
      <c r="C226" s="616" t="s">
        <v>974</v>
      </c>
      <c r="D226" s="616"/>
      <c r="E226" s="616"/>
      <c r="F226" s="616"/>
      <c r="G226" s="616"/>
      <c r="H226" s="337" t="s">
        <v>965</v>
      </c>
      <c r="I226" s="338">
        <f aca="true" t="shared" si="20" ref="I226:AM226">I208-H208</f>
        <v>74930</v>
      </c>
      <c r="J226" s="338">
        <f t="shared" si="20"/>
        <v>-417705</v>
      </c>
      <c r="K226" s="338">
        <f t="shared" si="20"/>
        <v>-628570</v>
      </c>
      <c r="L226" s="338">
        <f t="shared" si="20"/>
        <v>-268330</v>
      </c>
      <c r="M226" s="338">
        <f t="shared" si="20"/>
        <v>-212617</v>
      </c>
      <c r="N226" s="338">
        <f t="shared" si="20"/>
        <v>-204893</v>
      </c>
      <c r="O226" s="338">
        <f t="shared" si="20"/>
        <v>-211780</v>
      </c>
      <c r="P226" s="338">
        <f t="shared" si="20"/>
        <v>-206835</v>
      </c>
      <c r="Q226" s="338">
        <f t="shared" si="20"/>
        <v>-219465</v>
      </c>
      <c r="R226" s="338">
        <f t="shared" si="20"/>
        <v>-202815</v>
      </c>
      <c r="S226" s="338">
        <f t="shared" si="20"/>
        <v>-184250</v>
      </c>
      <c r="T226" s="338">
        <f t="shared" si="20"/>
        <v>-166080</v>
      </c>
      <c r="U226" s="338">
        <f t="shared" si="20"/>
        <v>-173785</v>
      </c>
      <c r="V226" s="338">
        <f t="shared" si="20"/>
        <v>-164705</v>
      </c>
      <c r="W226" s="338">
        <f t="shared" si="20"/>
        <v>-156195</v>
      </c>
      <c r="X226" s="338">
        <f t="shared" si="20"/>
        <v>-147100</v>
      </c>
      <c r="Y226" s="338">
        <f t="shared" si="20"/>
        <v>-151845</v>
      </c>
      <c r="Z226" s="338">
        <f t="shared" si="20"/>
        <v>-143565</v>
      </c>
      <c r="AA226" s="338">
        <f t="shared" si="20"/>
        <v>-137235</v>
      </c>
      <c r="AB226" s="338">
        <f t="shared" si="20"/>
        <v>-132650</v>
      </c>
      <c r="AC226" s="338">
        <f t="shared" si="20"/>
        <v>-135570</v>
      </c>
      <c r="AD226" s="338">
        <f t="shared" si="20"/>
        <v>-133210</v>
      </c>
      <c r="AE226" s="338">
        <f t="shared" si="20"/>
        <v>-129315</v>
      </c>
      <c r="AF226" s="338">
        <f t="shared" si="20"/>
        <v>-109675</v>
      </c>
      <c r="AG226" s="338">
        <f t="shared" si="20"/>
        <v>-92280</v>
      </c>
      <c r="AH226" s="338">
        <f t="shared" si="20"/>
        <v>-64165</v>
      </c>
      <c r="AI226" s="338">
        <f t="shared" si="20"/>
        <v>-54745</v>
      </c>
      <c r="AJ226" s="338">
        <f t="shared" si="20"/>
        <v>-40400</v>
      </c>
      <c r="AK226" s="338">
        <f t="shared" si="20"/>
        <v>-30480</v>
      </c>
      <c r="AL226" s="338">
        <f t="shared" si="20"/>
        <v>-18545</v>
      </c>
      <c r="AM226" s="338">
        <f t="shared" si="20"/>
        <v>3251360</v>
      </c>
      <c r="AN226" s="337" t="s">
        <v>965</v>
      </c>
      <c r="AO226" s="134"/>
    </row>
    <row r="227" spans="1:41" ht="15">
      <c r="A227" s="260"/>
      <c r="B227" s="259"/>
      <c r="C227" s="616" t="s">
        <v>736</v>
      </c>
      <c r="D227" s="616"/>
      <c r="E227" s="616"/>
      <c r="F227" s="616"/>
      <c r="G227" s="616"/>
      <c r="H227" s="337" t="s">
        <v>965</v>
      </c>
      <c r="I227" s="338">
        <f aca="true" t="shared" si="21" ref="I227:AM227">I209-H209</f>
        <v>596331.8499999996</v>
      </c>
      <c r="J227" s="338">
        <f t="shared" si="21"/>
        <v>7910.799999998882</v>
      </c>
      <c r="K227" s="338">
        <f t="shared" si="21"/>
        <v>-1116803.6499999985</v>
      </c>
      <c r="L227" s="338">
        <f t="shared" si="21"/>
        <v>-508548.6799999997</v>
      </c>
      <c r="M227" s="338">
        <f t="shared" si="21"/>
        <v>-173268.3200000003</v>
      </c>
      <c r="N227" s="338">
        <f t="shared" si="21"/>
        <v>-9071</v>
      </c>
      <c r="O227" s="338">
        <f t="shared" si="21"/>
        <v>-103738.33999999985</v>
      </c>
      <c r="P227" s="338">
        <f t="shared" si="21"/>
        <v>-274065.25</v>
      </c>
      <c r="Q227" s="338">
        <f t="shared" si="21"/>
        <v>-344849.1799999997</v>
      </c>
      <c r="R227" s="338">
        <f t="shared" si="21"/>
        <v>-721159.4400000004</v>
      </c>
      <c r="S227" s="338">
        <f t="shared" si="21"/>
        <v>-540440.8500000006</v>
      </c>
      <c r="T227" s="338">
        <f t="shared" si="21"/>
        <v>-240831.64999999944</v>
      </c>
      <c r="U227" s="338">
        <f t="shared" si="21"/>
        <v>-251523.20999999996</v>
      </c>
      <c r="V227" s="338">
        <f t="shared" si="21"/>
        <v>-376828.28000000026</v>
      </c>
      <c r="W227" s="338">
        <f t="shared" si="21"/>
        <v>-299610.7999999998</v>
      </c>
      <c r="X227" s="338">
        <f t="shared" si="21"/>
        <v>-210036.16999999993</v>
      </c>
      <c r="Y227" s="338">
        <f t="shared" si="21"/>
        <v>-247658.90000000037</v>
      </c>
      <c r="Z227" s="338">
        <f t="shared" si="21"/>
        <v>-318680.88999999966</v>
      </c>
      <c r="AA227" s="338">
        <f t="shared" si="21"/>
        <v>-189560.00999999978</v>
      </c>
      <c r="AB227" s="338">
        <f t="shared" si="21"/>
        <v>-178068.03000000026</v>
      </c>
      <c r="AC227" s="338">
        <f t="shared" si="21"/>
        <v>-135570</v>
      </c>
      <c r="AD227" s="338">
        <f t="shared" si="21"/>
        <v>-171844</v>
      </c>
      <c r="AE227" s="338">
        <f t="shared" si="21"/>
        <v>-583712.71</v>
      </c>
      <c r="AF227" s="338">
        <f t="shared" si="21"/>
        <v>-579559.29</v>
      </c>
      <c r="AG227" s="338">
        <f t="shared" si="21"/>
        <v>-821781</v>
      </c>
      <c r="AH227" s="338">
        <f t="shared" si="21"/>
        <v>-329446</v>
      </c>
      <c r="AI227" s="338">
        <f t="shared" si="21"/>
        <v>-392828.6499999999</v>
      </c>
      <c r="AJ227" s="338">
        <f t="shared" si="21"/>
        <v>-314023.52</v>
      </c>
      <c r="AK227" s="338">
        <f t="shared" si="21"/>
        <v>-240497.42000000004</v>
      </c>
      <c r="AL227" s="338">
        <f t="shared" si="21"/>
        <v>-526199.41</v>
      </c>
      <c r="AM227" s="338">
        <f t="shared" si="21"/>
        <v>23468493.880000003</v>
      </c>
      <c r="AN227" s="337" t="s">
        <v>965</v>
      </c>
      <c r="AO227" s="134"/>
    </row>
    <row r="228" spans="1:41" ht="15">
      <c r="A228" s="336"/>
      <c r="B228" s="335"/>
      <c r="C228" s="334"/>
      <c r="D228" s="333"/>
      <c r="E228" s="257"/>
      <c r="F228" s="256"/>
      <c r="G228" s="256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  <c r="AO228" s="134"/>
    </row>
    <row r="229" spans="1:41" ht="15">
      <c r="A229" s="109"/>
      <c r="B229" s="331" t="s">
        <v>737</v>
      </c>
      <c r="C229" s="330"/>
      <c r="D229" s="329"/>
      <c r="E229" s="280"/>
      <c r="F229" s="279"/>
      <c r="G229" s="279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328"/>
      <c r="AI229" s="328"/>
      <c r="AJ229" s="328"/>
      <c r="AK229" s="328"/>
      <c r="AL229" s="328"/>
      <c r="AM229" s="328"/>
      <c r="AN229" s="328"/>
      <c r="AO229" s="131"/>
    </row>
    <row r="230" spans="1:41" ht="26.25" customHeight="1">
      <c r="A230" s="537">
        <v>1</v>
      </c>
      <c r="B230" s="316" t="s">
        <v>530</v>
      </c>
      <c r="C230" s="555" t="s">
        <v>973</v>
      </c>
      <c r="D230" s="566" t="s">
        <v>965</v>
      </c>
      <c r="E230" s="617">
        <v>5122338.52</v>
      </c>
      <c r="F230" s="556" t="s">
        <v>738</v>
      </c>
      <c r="G230" s="322" t="s">
        <v>533</v>
      </c>
      <c r="H230" s="327">
        <v>216000</v>
      </c>
      <c r="I230" s="327">
        <v>216000</v>
      </c>
      <c r="J230" s="327">
        <v>216000</v>
      </c>
      <c r="K230" s="327">
        <v>216000</v>
      </c>
      <c r="L230" s="327">
        <v>216000</v>
      </c>
      <c r="M230" s="327">
        <v>216000</v>
      </c>
      <c r="N230" s="327">
        <v>216000</v>
      </c>
      <c r="O230" s="327">
        <v>0</v>
      </c>
      <c r="P230" s="327">
        <v>0</v>
      </c>
      <c r="Q230" s="327">
        <v>0</v>
      </c>
      <c r="R230" s="327">
        <v>0</v>
      </c>
      <c r="S230" s="327">
        <v>0</v>
      </c>
      <c r="T230" s="327">
        <v>0</v>
      </c>
      <c r="U230" s="327">
        <v>0</v>
      </c>
      <c r="V230" s="327">
        <v>0</v>
      </c>
      <c r="W230" s="327"/>
      <c r="X230" s="327"/>
      <c r="Y230" s="327"/>
      <c r="Z230" s="327"/>
      <c r="AA230" s="327"/>
      <c r="AB230" s="327"/>
      <c r="AC230" s="327"/>
      <c r="AD230" s="327"/>
      <c r="AE230" s="327"/>
      <c r="AF230" s="327"/>
      <c r="AG230" s="327"/>
      <c r="AH230" s="327"/>
      <c r="AI230" s="327"/>
      <c r="AJ230" s="327"/>
      <c r="AK230" s="327"/>
      <c r="AL230" s="327"/>
      <c r="AM230" s="327"/>
      <c r="AN230" s="312">
        <f aca="true" t="shared" si="22" ref="AN230:AN241">SUM(H230:AM230)</f>
        <v>1512000</v>
      </c>
      <c r="AO230" s="131"/>
    </row>
    <row r="231" spans="1:41" ht="26.25" customHeight="1">
      <c r="A231" s="538"/>
      <c r="B231" s="311" t="s">
        <v>972</v>
      </c>
      <c r="C231" s="549"/>
      <c r="D231" s="567"/>
      <c r="E231" s="618"/>
      <c r="F231" s="551"/>
      <c r="G231" s="318">
        <v>0.04617</v>
      </c>
      <c r="H231" s="325">
        <v>62515</v>
      </c>
      <c r="I231" s="325">
        <v>53235</v>
      </c>
      <c r="J231" s="325">
        <v>44130</v>
      </c>
      <c r="K231" s="325">
        <v>35025</v>
      </c>
      <c r="L231" s="325">
        <v>25990</v>
      </c>
      <c r="M231" s="325">
        <v>16810</v>
      </c>
      <c r="N231" s="325">
        <v>7705</v>
      </c>
      <c r="O231" s="325">
        <v>510</v>
      </c>
      <c r="P231" s="325">
        <v>0</v>
      </c>
      <c r="Q231" s="325">
        <v>0</v>
      </c>
      <c r="R231" s="325">
        <v>0</v>
      </c>
      <c r="S231" s="325">
        <v>0</v>
      </c>
      <c r="T231" s="325">
        <v>0</v>
      </c>
      <c r="U231" s="325">
        <v>0</v>
      </c>
      <c r="V231" s="325">
        <v>0</v>
      </c>
      <c r="W231" s="325"/>
      <c r="X231" s="325"/>
      <c r="Y231" s="325"/>
      <c r="Z231" s="325"/>
      <c r="AA231" s="325"/>
      <c r="AB231" s="325"/>
      <c r="AC231" s="325"/>
      <c r="AD231" s="325"/>
      <c r="AE231" s="325"/>
      <c r="AF231" s="325"/>
      <c r="AG231" s="325"/>
      <c r="AH231" s="325"/>
      <c r="AI231" s="325"/>
      <c r="AJ231" s="325"/>
      <c r="AK231" s="325"/>
      <c r="AL231" s="325"/>
      <c r="AM231" s="325"/>
      <c r="AN231" s="308">
        <f t="shared" si="22"/>
        <v>245920</v>
      </c>
      <c r="AO231" s="131"/>
    </row>
    <row r="232" spans="1:41" ht="26.25" customHeight="1">
      <c r="A232" s="537">
        <v>2</v>
      </c>
      <c r="B232" s="316" t="s">
        <v>530</v>
      </c>
      <c r="C232" s="555" t="s">
        <v>971</v>
      </c>
      <c r="D232" s="566" t="s">
        <v>965</v>
      </c>
      <c r="E232" s="617">
        <v>522193.95</v>
      </c>
      <c r="F232" s="556" t="s">
        <v>739</v>
      </c>
      <c r="G232" s="322" t="s">
        <v>533</v>
      </c>
      <c r="H232" s="320">
        <v>32139.84</v>
      </c>
      <c r="I232" s="320">
        <v>32139.84</v>
      </c>
      <c r="J232" s="320">
        <v>32139.84</v>
      </c>
      <c r="K232" s="320">
        <v>32139.84</v>
      </c>
      <c r="L232" s="320">
        <v>32139.84</v>
      </c>
      <c r="M232" s="320">
        <v>32139.84</v>
      </c>
      <c r="N232" s="320">
        <v>32061.39</v>
      </c>
      <c r="O232" s="327">
        <v>0</v>
      </c>
      <c r="P232" s="327">
        <v>0</v>
      </c>
      <c r="Q232" s="327">
        <v>0</v>
      </c>
      <c r="R232" s="327">
        <v>0</v>
      </c>
      <c r="S232" s="327">
        <v>0</v>
      </c>
      <c r="T232" s="327">
        <v>0</v>
      </c>
      <c r="U232" s="327">
        <v>0</v>
      </c>
      <c r="V232" s="327">
        <v>0</v>
      </c>
      <c r="W232" s="327"/>
      <c r="X232" s="327"/>
      <c r="Y232" s="327"/>
      <c r="Z232" s="327"/>
      <c r="AA232" s="327"/>
      <c r="AB232" s="327"/>
      <c r="AC232" s="327"/>
      <c r="AD232" s="327"/>
      <c r="AE232" s="327"/>
      <c r="AF232" s="327"/>
      <c r="AG232" s="327"/>
      <c r="AH232" s="327"/>
      <c r="AI232" s="327"/>
      <c r="AJ232" s="327"/>
      <c r="AK232" s="327"/>
      <c r="AL232" s="327"/>
      <c r="AM232" s="327"/>
      <c r="AN232" s="312">
        <f t="shared" si="22"/>
        <v>224900.43</v>
      </c>
      <c r="AO232" s="131"/>
    </row>
    <row r="233" spans="1:41" ht="26.25" customHeight="1">
      <c r="A233" s="538"/>
      <c r="B233" s="311" t="s">
        <v>740</v>
      </c>
      <c r="C233" s="549"/>
      <c r="D233" s="567"/>
      <c r="E233" s="618"/>
      <c r="F233" s="551"/>
      <c r="G233" s="318">
        <v>0.04448</v>
      </c>
      <c r="H233" s="325">
        <v>10040</v>
      </c>
      <c r="I233" s="325">
        <v>8550</v>
      </c>
      <c r="J233" s="325">
        <v>7085</v>
      </c>
      <c r="K233" s="325">
        <v>5625</v>
      </c>
      <c r="L233" s="325">
        <v>4175</v>
      </c>
      <c r="M233" s="325">
        <v>2700</v>
      </c>
      <c r="N233" s="325">
        <v>1235</v>
      </c>
      <c r="O233" s="325">
        <v>85</v>
      </c>
      <c r="P233" s="325">
        <v>0</v>
      </c>
      <c r="Q233" s="325">
        <v>0</v>
      </c>
      <c r="R233" s="325">
        <v>0</v>
      </c>
      <c r="S233" s="325">
        <v>0</v>
      </c>
      <c r="T233" s="325">
        <v>0</v>
      </c>
      <c r="U233" s="325">
        <v>0</v>
      </c>
      <c r="V233" s="325">
        <v>0</v>
      </c>
      <c r="W233" s="325"/>
      <c r="X233" s="325"/>
      <c r="Y233" s="325"/>
      <c r="Z233" s="325"/>
      <c r="AA233" s="325"/>
      <c r="AB233" s="325"/>
      <c r="AC233" s="325"/>
      <c r="AD233" s="325"/>
      <c r="AE233" s="325"/>
      <c r="AF233" s="325"/>
      <c r="AG233" s="325"/>
      <c r="AH233" s="325"/>
      <c r="AI233" s="325"/>
      <c r="AJ233" s="325"/>
      <c r="AK233" s="325"/>
      <c r="AL233" s="325"/>
      <c r="AM233" s="325"/>
      <c r="AN233" s="308">
        <f t="shared" si="22"/>
        <v>39495</v>
      </c>
      <c r="AO233" s="131"/>
    </row>
    <row r="234" spans="1:41" ht="26.25" customHeight="1">
      <c r="A234" s="537">
        <v>3</v>
      </c>
      <c r="B234" s="316" t="s">
        <v>530</v>
      </c>
      <c r="C234" s="555" t="s">
        <v>970</v>
      </c>
      <c r="D234" s="566" t="s">
        <v>965</v>
      </c>
      <c r="E234" s="617">
        <f>6033386-77724.71</f>
        <v>5955661.29</v>
      </c>
      <c r="F234" s="556" t="s">
        <v>969</v>
      </c>
      <c r="G234" s="322" t="s">
        <v>533</v>
      </c>
      <c r="H234" s="320">
        <v>212568</v>
      </c>
      <c r="I234" s="320">
        <v>212568</v>
      </c>
      <c r="J234" s="320">
        <v>212568</v>
      </c>
      <c r="K234" s="320">
        <v>212568</v>
      </c>
      <c r="L234" s="320">
        <v>212568</v>
      </c>
      <c r="M234" s="320">
        <v>212568</v>
      </c>
      <c r="N234" s="320">
        <v>212568</v>
      </c>
      <c r="O234" s="320">
        <v>212568</v>
      </c>
      <c r="P234" s="320">
        <v>212568</v>
      </c>
      <c r="Q234" s="320">
        <v>212568</v>
      </c>
      <c r="R234" s="320">
        <v>212568</v>
      </c>
      <c r="S234" s="320">
        <v>212568</v>
      </c>
      <c r="T234" s="320">
        <v>212568</v>
      </c>
      <c r="U234" s="320">
        <v>212568</v>
      </c>
      <c r="V234" s="326">
        <v>212568</v>
      </c>
      <c r="W234" s="326">
        <v>212568</v>
      </c>
      <c r="X234" s="326">
        <v>212568</v>
      </c>
      <c r="Y234" s="326">
        <v>212568</v>
      </c>
      <c r="Z234" s="326">
        <v>212568</v>
      </c>
      <c r="AA234" s="326">
        <v>212568</v>
      </c>
      <c r="AB234" s="326">
        <v>212568</v>
      </c>
      <c r="AC234" s="326">
        <v>21649.28</v>
      </c>
      <c r="AD234" s="326"/>
      <c r="AE234" s="326"/>
      <c r="AF234" s="326"/>
      <c r="AG234" s="326"/>
      <c r="AH234" s="326"/>
      <c r="AI234" s="326"/>
      <c r="AJ234" s="326"/>
      <c r="AK234" s="326"/>
      <c r="AL234" s="326"/>
      <c r="AM234" s="326"/>
      <c r="AN234" s="312">
        <f t="shared" si="22"/>
        <v>4485577.28</v>
      </c>
      <c r="AO234" s="131"/>
    </row>
    <row r="235" spans="1:41" ht="26.25" customHeight="1">
      <c r="A235" s="538"/>
      <c r="B235" s="311" t="s">
        <v>741</v>
      </c>
      <c r="C235" s="549"/>
      <c r="D235" s="567"/>
      <c r="E235" s="618"/>
      <c r="F235" s="551"/>
      <c r="G235" s="318">
        <v>0.05385</v>
      </c>
      <c r="H235" s="317">
        <v>245490</v>
      </c>
      <c r="I235" s="317">
        <v>231510</v>
      </c>
      <c r="J235" s="317">
        <v>219905</v>
      </c>
      <c r="K235" s="317">
        <v>208300</v>
      </c>
      <c r="L235" s="317">
        <v>197240</v>
      </c>
      <c r="M235" s="317">
        <v>185090</v>
      </c>
      <c r="N235" s="317">
        <v>173480</v>
      </c>
      <c r="O235" s="317">
        <v>161875</v>
      </c>
      <c r="P235" s="317">
        <v>150690</v>
      </c>
      <c r="Q235" s="317">
        <v>138665</v>
      </c>
      <c r="R235" s="317">
        <v>127060</v>
      </c>
      <c r="S235" s="317">
        <v>115455</v>
      </c>
      <c r="T235" s="317">
        <v>104135</v>
      </c>
      <c r="U235" s="317">
        <v>92240</v>
      </c>
      <c r="V235" s="324">
        <v>80635</v>
      </c>
      <c r="W235" s="324">
        <v>69030</v>
      </c>
      <c r="X235" s="324">
        <v>57585</v>
      </c>
      <c r="Y235" s="324">
        <v>45820</v>
      </c>
      <c r="Z235" s="324">
        <v>34215</v>
      </c>
      <c r="AA235" s="324">
        <v>22605</v>
      </c>
      <c r="AB235" s="324">
        <v>11035</v>
      </c>
      <c r="AC235" s="324">
        <v>1200</v>
      </c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08">
        <f t="shared" si="22"/>
        <v>2673260</v>
      </c>
      <c r="AO235" s="131"/>
    </row>
    <row r="236" spans="1:41" ht="26.25" customHeight="1">
      <c r="A236" s="537">
        <v>4</v>
      </c>
      <c r="B236" s="316" t="s">
        <v>530</v>
      </c>
      <c r="C236" s="621" t="s">
        <v>968</v>
      </c>
      <c r="D236" s="566" t="s">
        <v>965</v>
      </c>
      <c r="E236" s="617">
        <v>203978</v>
      </c>
      <c r="F236" s="556" t="s">
        <v>742</v>
      </c>
      <c r="G236" s="322" t="s">
        <v>533</v>
      </c>
      <c r="H236" s="327">
        <v>9178.16</v>
      </c>
      <c r="I236" s="327">
        <v>9178.16</v>
      </c>
      <c r="J236" s="327">
        <v>9178.16</v>
      </c>
      <c r="K236" s="327">
        <v>9178.16</v>
      </c>
      <c r="L236" s="327">
        <v>9178.16</v>
      </c>
      <c r="M236" s="327">
        <v>9178.16</v>
      </c>
      <c r="N236" s="327">
        <v>9178.16</v>
      </c>
      <c r="O236" s="327">
        <v>9178.16</v>
      </c>
      <c r="P236" s="327">
        <v>9178.16</v>
      </c>
      <c r="Q236" s="327">
        <v>9178.16</v>
      </c>
      <c r="R236" s="327">
        <v>9178.16</v>
      </c>
      <c r="S236" s="327">
        <v>9178.16</v>
      </c>
      <c r="T236" s="327">
        <v>9178.16</v>
      </c>
      <c r="U236" s="327">
        <v>9178.16</v>
      </c>
      <c r="V236" s="326">
        <v>9178.16</v>
      </c>
      <c r="W236" s="326">
        <v>9178.16</v>
      </c>
      <c r="X236" s="326">
        <v>9178.16</v>
      </c>
      <c r="Y236" s="326">
        <v>9178.16</v>
      </c>
      <c r="Z236" s="326">
        <v>2294.8</v>
      </c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12">
        <f t="shared" si="22"/>
        <v>167501.68000000002</v>
      </c>
      <c r="AO236" s="131"/>
    </row>
    <row r="237" spans="1:41" ht="26.25" customHeight="1">
      <c r="A237" s="538"/>
      <c r="B237" s="311" t="s">
        <v>743</v>
      </c>
      <c r="C237" s="549"/>
      <c r="D237" s="567"/>
      <c r="E237" s="618"/>
      <c r="F237" s="551"/>
      <c r="G237" s="318">
        <v>0.05101</v>
      </c>
      <c r="H237" s="325">
        <v>8280</v>
      </c>
      <c r="I237" s="325">
        <v>7205</v>
      </c>
      <c r="J237" s="325">
        <v>6485</v>
      </c>
      <c r="K237" s="325">
        <v>6085</v>
      </c>
      <c r="L237" s="325">
        <v>5700</v>
      </c>
      <c r="M237" s="325">
        <v>5280</v>
      </c>
      <c r="N237" s="325">
        <v>4875</v>
      </c>
      <c r="O237" s="325">
        <v>4470</v>
      </c>
      <c r="P237" s="325">
        <v>4080</v>
      </c>
      <c r="Q237" s="325">
        <v>3665</v>
      </c>
      <c r="R237" s="325">
        <v>3265</v>
      </c>
      <c r="S237" s="325">
        <v>2860</v>
      </c>
      <c r="T237" s="325">
        <v>2465</v>
      </c>
      <c r="U237" s="325">
        <v>2055</v>
      </c>
      <c r="V237" s="324">
        <v>1655</v>
      </c>
      <c r="W237" s="324">
        <v>1250</v>
      </c>
      <c r="X237" s="324">
        <v>850</v>
      </c>
      <c r="Y237" s="324">
        <v>445</v>
      </c>
      <c r="Z237" s="324">
        <v>70</v>
      </c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08">
        <f t="shared" si="22"/>
        <v>71040</v>
      </c>
      <c r="AO237" s="131"/>
    </row>
    <row r="238" spans="1:41" ht="21.75" customHeight="1">
      <c r="A238" s="537">
        <v>5</v>
      </c>
      <c r="B238" s="316" t="s">
        <v>530</v>
      </c>
      <c r="C238" s="621" t="s">
        <v>967</v>
      </c>
      <c r="D238" s="566" t="s">
        <v>965</v>
      </c>
      <c r="E238" s="617">
        <v>150829</v>
      </c>
      <c r="F238" s="556" t="s">
        <v>744</v>
      </c>
      <c r="G238" s="322" t="s">
        <v>533</v>
      </c>
      <c r="H238" s="327">
        <v>4921.72</v>
      </c>
      <c r="I238" s="327">
        <v>4921.72</v>
      </c>
      <c r="J238" s="327">
        <v>4921.72</v>
      </c>
      <c r="K238" s="327">
        <v>4921.72</v>
      </c>
      <c r="L238" s="327">
        <v>4921.72</v>
      </c>
      <c r="M238" s="327">
        <v>4921.72</v>
      </c>
      <c r="N238" s="327">
        <v>4921.72</v>
      </c>
      <c r="O238" s="327">
        <v>4921.72</v>
      </c>
      <c r="P238" s="327">
        <v>4921.72</v>
      </c>
      <c r="Q238" s="327">
        <v>4921.72</v>
      </c>
      <c r="R238" s="327">
        <v>4921.72</v>
      </c>
      <c r="S238" s="327">
        <v>4921.72</v>
      </c>
      <c r="T238" s="327">
        <v>4921.72</v>
      </c>
      <c r="U238" s="327">
        <v>4921.72</v>
      </c>
      <c r="V238" s="327">
        <v>4921.72</v>
      </c>
      <c r="W238" s="327">
        <v>4921.72</v>
      </c>
      <c r="X238" s="327">
        <v>4921.72</v>
      </c>
      <c r="Y238" s="327">
        <v>4921.72</v>
      </c>
      <c r="Z238" s="326">
        <v>2461.59</v>
      </c>
      <c r="AA238" s="326"/>
      <c r="AB238" s="326"/>
      <c r="AC238" s="326"/>
      <c r="AD238" s="326"/>
      <c r="AE238" s="326"/>
      <c r="AF238" s="326"/>
      <c r="AG238" s="326"/>
      <c r="AH238" s="326"/>
      <c r="AI238" s="326"/>
      <c r="AJ238" s="326"/>
      <c r="AK238" s="326"/>
      <c r="AL238" s="326"/>
      <c r="AM238" s="326"/>
      <c r="AN238" s="312">
        <f t="shared" si="22"/>
        <v>91052.55</v>
      </c>
      <c r="AO238" s="131"/>
    </row>
    <row r="239" spans="1:41" ht="21.75" customHeight="1">
      <c r="A239" s="538"/>
      <c r="B239" s="311" t="s">
        <v>745</v>
      </c>
      <c r="C239" s="549"/>
      <c r="D239" s="567"/>
      <c r="E239" s="618"/>
      <c r="F239" s="551"/>
      <c r="G239" s="318">
        <v>0.05918</v>
      </c>
      <c r="H239" s="325">
        <v>4885</v>
      </c>
      <c r="I239" s="325">
        <v>4605</v>
      </c>
      <c r="J239" s="325">
        <v>4340</v>
      </c>
      <c r="K239" s="325">
        <v>4075</v>
      </c>
      <c r="L239" s="325">
        <v>3820</v>
      </c>
      <c r="M239" s="325">
        <v>3545</v>
      </c>
      <c r="N239" s="325">
        <v>3280</v>
      </c>
      <c r="O239" s="325">
        <v>3015</v>
      </c>
      <c r="P239" s="325">
        <v>2755</v>
      </c>
      <c r="Q239" s="325">
        <v>2485</v>
      </c>
      <c r="R239" s="325">
        <v>2215</v>
      </c>
      <c r="S239" s="325">
        <v>1950</v>
      </c>
      <c r="T239" s="325">
        <v>1690</v>
      </c>
      <c r="U239" s="325">
        <v>1420</v>
      </c>
      <c r="V239" s="324">
        <v>1155</v>
      </c>
      <c r="W239" s="324">
        <v>890</v>
      </c>
      <c r="X239" s="324">
        <v>625</v>
      </c>
      <c r="Y239" s="324">
        <v>360</v>
      </c>
      <c r="Z239" s="324">
        <v>95</v>
      </c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08">
        <f t="shared" si="22"/>
        <v>47205</v>
      </c>
      <c r="AO239" s="131"/>
    </row>
    <row r="240" spans="1:41" ht="39" customHeight="1">
      <c r="A240" s="537">
        <v>6</v>
      </c>
      <c r="B240" s="316" t="s">
        <v>855</v>
      </c>
      <c r="C240" s="621" t="s">
        <v>966</v>
      </c>
      <c r="D240" s="566" t="s">
        <v>965</v>
      </c>
      <c r="E240" s="617">
        <v>4642560</v>
      </c>
      <c r="F240" s="556" t="s">
        <v>856</v>
      </c>
      <c r="G240" s="322" t="s">
        <v>533</v>
      </c>
      <c r="H240" s="321">
        <v>294776.57</v>
      </c>
      <c r="I240" s="320">
        <v>292130.4</v>
      </c>
      <c r="J240" s="320">
        <v>292130.4</v>
      </c>
      <c r="K240" s="320">
        <v>292130.4</v>
      </c>
      <c r="L240" s="320">
        <v>292130.4</v>
      </c>
      <c r="M240" s="320">
        <v>292130.4</v>
      </c>
      <c r="N240" s="320">
        <v>292130.4</v>
      </c>
      <c r="O240" s="320">
        <v>292130.4</v>
      </c>
      <c r="P240" s="320">
        <v>292130.4</v>
      </c>
      <c r="Q240" s="320">
        <v>292130.4</v>
      </c>
      <c r="R240" s="320">
        <v>292130.4</v>
      </c>
      <c r="S240" s="320">
        <v>292130.4</v>
      </c>
      <c r="T240" s="320">
        <v>292130.4</v>
      </c>
      <c r="U240" s="320">
        <v>292130.4</v>
      </c>
      <c r="V240" s="320">
        <v>292130.4</v>
      </c>
      <c r="W240" s="320">
        <v>257957.83</v>
      </c>
      <c r="X240" s="320"/>
      <c r="Y240" s="320"/>
      <c r="Z240" s="320"/>
      <c r="AA240" s="320"/>
      <c r="AB240" s="320"/>
      <c r="AC240" s="320"/>
      <c r="AD240" s="320"/>
      <c r="AE240" s="320"/>
      <c r="AF240" s="320"/>
      <c r="AG240" s="320"/>
      <c r="AH240" s="320"/>
      <c r="AI240" s="320"/>
      <c r="AJ240" s="320"/>
      <c r="AK240" s="320"/>
      <c r="AL240" s="320"/>
      <c r="AM240" s="320"/>
      <c r="AN240" s="312">
        <f t="shared" si="22"/>
        <v>4642559.999999999</v>
      </c>
      <c r="AO240" s="131"/>
    </row>
    <row r="241" spans="1:41" ht="36" customHeight="1">
      <c r="A241" s="538"/>
      <c r="B241" s="311" t="s">
        <v>910</v>
      </c>
      <c r="C241" s="549"/>
      <c r="D241" s="567"/>
      <c r="E241" s="618"/>
      <c r="F241" s="551"/>
      <c r="G241" s="318">
        <v>0.05852</v>
      </c>
      <c r="H241" s="317">
        <v>227560</v>
      </c>
      <c r="I241" s="317">
        <v>214360</v>
      </c>
      <c r="J241" s="317">
        <v>199615</v>
      </c>
      <c r="K241" s="317">
        <v>169675</v>
      </c>
      <c r="L241" s="317">
        <v>136380</v>
      </c>
      <c r="M241" s="317">
        <v>124150</v>
      </c>
      <c r="N241" s="317">
        <v>112305</v>
      </c>
      <c r="O241" s="317">
        <v>100455</v>
      </c>
      <c r="P241" s="317">
        <v>88860</v>
      </c>
      <c r="Q241" s="317">
        <v>76760</v>
      </c>
      <c r="R241" s="317">
        <v>64915</v>
      </c>
      <c r="S241" s="317">
        <v>53065</v>
      </c>
      <c r="T241" s="317">
        <v>41340</v>
      </c>
      <c r="U241" s="317">
        <v>29370</v>
      </c>
      <c r="V241" s="317">
        <v>17525</v>
      </c>
      <c r="W241" s="317">
        <v>5685</v>
      </c>
      <c r="X241" s="317"/>
      <c r="Y241" s="317"/>
      <c r="Z241" s="317"/>
      <c r="AA241" s="317"/>
      <c r="AB241" s="317"/>
      <c r="AC241" s="317"/>
      <c r="AD241" s="317"/>
      <c r="AE241" s="317"/>
      <c r="AF241" s="317"/>
      <c r="AG241" s="317"/>
      <c r="AH241" s="317"/>
      <c r="AI241" s="317"/>
      <c r="AJ241" s="317"/>
      <c r="AK241" s="317"/>
      <c r="AL241" s="317"/>
      <c r="AM241" s="317"/>
      <c r="AN241" s="308">
        <f t="shared" si="22"/>
        <v>1662020</v>
      </c>
      <c r="AO241" s="131"/>
    </row>
    <row r="242" spans="1:41" ht="15" hidden="1">
      <c r="A242" s="537"/>
      <c r="B242" s="316"/>
      <c r="C242" s="621"/>
      <c r="D242" s="566" t="s">
        <v>965</v>
      </c>
      <c r="E242" s="623"/>
      <c r="F242" s="619"/>
      <c r="G242" s="314"/>
      <c r="H242" s="313"/>
      <c r="I242" s="313"/>
      <c r="J242" s="313"/>
      <c r="K242" s="313"/>
      <c r="L242" s="313"/>
      <c r="M242" s="313"/>
      <c r="N242" s="313"/>
      <c r="O242" s="313"/>
      <c r="P242" s="313"/>
      <c r="Q242" s="313"/>
      <c r="R242" s="313"/>
      <c r="S242" s="313"/>
      <c r="T242" s="313"/>
      <c r="U242" s="313"/>
      <c r="V242" s="313"/>
      <c r="W242" s="313"/>
      <c r="X242" s="313"/>
      <c r="Y242" s="313"/>
      <c r="Z242" s="313"/>
      <c r="AA242" s="313"/>
      <c r="AB242" s="313"/>
      <c r="AC242" s="313"/>
      <c r="AD242" s="313"/>
      <c r="AE242" s="313"/>
      <c r="AF242" s="313"/>
      <c r="AG242" s="313"/>
      <c r="AH242" s="313"/>
      <c r="AI242" s="313"/>
      <c r="AJ242" s="313"/>
      <c r="AK242" s="313"/>
      <c r="AL242" s="313"/>
      <c r="AM242" s="313"/>
      <c r="AN242" s="312"/>
      <c r="AO242" s="102"/>
    </row>
    <row r="243" spans="1:41" ht="15" hidden="1">
      <c r="A243" s="538"/>
      <c r="B243" s="311"/>
      <c r="C243" s="549"/>
      <c r="D243" s="567"/>
      <c r="E243" s="624"/>
      <c r="F243" s="620"/>
      <c r="G243" s="310"/>
      <c r="H243" s="309"/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09"/>
      <c r="AD243" s="309"/>
      <c r="AE243" s="309"/>
      <c r="AF243" s="309"/>
      <c r="AG243" s="309"/>
      <c r="AH243" s="309"/>
      <c r="AI243" s="309"/>
      <c r="AJ243" s="309"/>
      <c r="AK243" s="309"/>
      <c r="AL243" s="309"/>
      <c r="AM243" s="309"/>
      <c r="AN243" s="308"/>
      <c r="AO243" s="102"/>
    </row>
    <row r="244" spans="1:41" ht="15">
      <c r="A244" s="285"/>
      <c r="B244" s="637" t="s">
        <v>727</v>
      </c>
      <c r="C244" s="637"/>
      <c r="D244" s="637"/>
      <c r="E244" s="637"/>
      <c r="F244" s="637"/>
      <c r="G244" s="307"/>
      <c r="H244" s="110">
        <f aca="true" t="shared" si="23" ref="H244:AN244">H230+H232+H234+H236+H242+H238+H240</f>
        <v>769584.2899999999</v>
      </c>
      <c r="I244" s="110">
        <f t="shared" si="23"/>
        <v>766938.1199999999</v>
      </c>
      <c r="J244" s="110">
        <f t="shared" si="23"/>
        <v>766938.1199999999</v>
      </c>
      <c r="K244" s="110">
        <f t="shared" si="23"/>
        <v>766938.1199999999</v>
      </c>
      <c r="L244" s="110">
        <f t="shared" si="23"/>
        <v>766938.1199999999</v>
      </c>
      <c r="M244" s="110">
        <f t="shared" si="23"/>
        <v>766938.1199999999</v>
      </c>
      <c r="N244" s="110">
        <f t="shared" si="23"/>
        <v>766859.6699999999</v>
      </c>
      <c r="O244" s="110">
        <f t="shared" si="23"/>
        <v>518798.28</v>
      </c>
      <c r="P244" s="110">
        <f t="shared" si="23"/>
        <v>518798.28</v>
      </c>
      <c r="Q244" s="110">
        <f t="shared" si="23"/>
        <v>518798.28</v>
      </c>
      <c r="R244" s="110">
        <f t="shared" si="23"/>
        <v>518798.28</v>
      </c>
      <c r="S244" s="110">
        <f t="shared" si="23"/>
        <v>518798.28</v>
      </c>
      <c r="T244" s="110">
        <f t="shared" si="23"/>
        <v>518798.28</v>
      </c>
      <c r="U244" s="110">
        <f t="shared" si="23"/>
        <v>518798.28</v>
      </c>
      <c r="V244" s="110">
        <f t="shared" si="23"/>
        <v>518798.28</v>
      </c>
      <c r="W244" s="110">
        <f t="shared" si="23"/>
        <v>484625.70999999996</v>
      </c>
      <c r="X244" s="110">
        <f t="shared" si="23"/>
        <v>226667.88</v>
      </c>
      <c r="Y244" s="110">
        <f t="shared" si="23"/>
        <v>226667.88</v>
      </c>
      <c r="Z244" s="110">
        <f t="shared" si="23"/>
        <v>217324.38999999998</v>
      </c>
      <c r="AA244" s="110">
        <f t="shared" si="23"/>
        <v>212568</v>
      </c>
      <c r="AB244" s="110">
        <f t="shared" si="23"/>
        <v>212568</v>
      </c>
      <c r="AC244" s="110">
        <f t="shared" si="23"/>
        <v>21649.28</v>
      </c>
      <c r="AD244" s="110">
        <f t="shared" si="23"/>
        <v>0</v>
      </c>
      <c r="AE244" s="110">
        <f t="shared" si="23"/>
        <v>0</v>
      </c>
      <c r="AF244" s="110">
        <f t="shared" si="23"/>
        <v>0</v>
      </c>
      <c r="AG244" s="110">
        <f t="shared" si="23"/>
        <v>0</v>
      </c>
      <c r="AH244" s="110">
        <f t="shared" si="23"/>
        <v>0</v>
      </c>
      <c r="AI244" s="110">
        <f t="shared" si="23"/>
        <v>0</v>
      </c>
      <c r="AJ244" s="110">
        <f t="shared" si="23"/>
        <v>0</v>
      </c>
      <c r="AK244" s="110">
        <f t="shared" si="23"/>
        <v>0</v>
      </c>
      <c r="AL244" s="110">
        <f t="shared" si="23"/>
        <v>0</v>
      </c>
      <c r="AM244" s="110">
        <f t="shared" si="23"/>
        <v>0</v>
      </c>
      <c r="AN244" s="110">
        <f t="shared" si="23"/>
        <v>11123591.939999998</v>
      </c>
      <c r="AO244" s="131"/>
    </row>
    <row r="245" spans="1:41" ht="15.75" thickBot="1">
      <c r="A245" s="306"/>
      <c r="B245" s="638" t="s">
        <v>728</v>
      </c>
      <c r="C245" s="638"/>
      <c r="D245" s="638"/>
      <c r="E245" s="638"/>
      <c r="F245" s="638"/>
      <c r="G245" s="305"/>
      <c r="H245" s="304">
        <f aca="true" t="shared" si="24" ref="H245:AN245">H231+H233+H235+H237+H243+H239+H241</f>
        <v>558770</v>
      </c>
      <c r="I245" s="304">
        <f t="shared" si="24"/>
        <v>519465</v>
      </c>
      <c r="J245" s="304">
        <f t="shared" si="24"/>
        <v>481560</v>
      </c>
      <c r="K245" s="304">
        <f t="shared" si="24"/>
        <v>428785</v>
      </c>
      <c r="L245" s="304">
        <f t="shared" si="24"/>
        <v>373305</v>
      </c>
      <c r="M245" s="304">
        <f t="shared" si="24"/>
        <v>337575</v>
      </c>
      <c r="N245" s="304">
        <f t="shared" si="24"/>
        <v>302880</v>
      </c>
      <c r="O245" s="304">
        <f t="shared" si="24"/>
        <v>270410</v>
      </c>
      <c r="P245" s="304">
        <f t="shared" si="24"/>
        <v>246385</v>
      </c>
      <c r="Q245" s="304">
        <f t="shared" si="24"/>
        <v>221575</v>
      </c>
      <c r="R245" s="304">
        <f t="shared" si="24"/>
        <v>197455</v>
      </c>
      <c r="S245" s="304">
        <f t="shared" si="24"/>
        <v>173330</v>
      </c>
      <c r="T245" s="304">
        <f t="shared" si="24"/>
        <v>149630</v>
      </c>
      <c r="U245" s="304">
        <f t="shared" si="24"/>
        <v>125085</v>
      </c>
      <c r="V245" s="304">
        <f t="shared" si="24"/>
        <v>100970</v>
      </c>
      <c r="W245" s="304">
        <f t="shared" si="24"/>
        <v>76855</v>
      </c>
      <c r="X245" s="304">
        <f t="shared" si="24"/>
        <v>59060</v>
      </c>
      <c r="Y245" s="304">
        <f t="shared" si="24"/>
        <v>46625</v>
      </c>
      <c r="Z245" s="304">
        <f t="shared" si="24"/>
        <v>34380</v>
      </c>
      <c r="AA245" s="304">
        <f t="shared" si="24"/>
        <v>22605</v>
      </c>
      <c r="AB245" s="304">
        <f t="shared" si="24"/>
        <v>11035</v>
      </c>
      <c r="AC245" s="304">
        <f t="shared" si="24"/>
        <v>1200</v>
      </c>
      <c r="AD245" s="304">
        <f t="shared" si="24"/>
        <v>0</v>
      </c>
      <c r="AE245" s="304">
        <f t="shared" si="24"/>
        <v>0</v>
      </c>
      <c r="AF245" s="304">
        <f t="shared" si="24"/>
        <v>0</v>
      </c>
      <c r="AG245" s="304">
        <f t="shared" si="24"/>
        <v>0</v>
      </c>
      <c r="AH245" s="304">
        <f t="shared" si="24"/>
        <v>0</v>
      </c>
      <c r="AI245" s="304">
        <f t="shared" si="24"/>
        <v>0</v>
      </c>
      <c r="AJ245" s="304">
        <f t="shared" si="24"/>
        <v>0</v>
      </c>
      <c r="AK245" s="304">
        <f t="shared" si="24"/>
        <v>0</v>
      </c>
      <c r="AL245" s="304">
        <f t="shared" si="24"/>
        <v>0</v>
      </c>
      <c r="AM245" s="304">
        <f t="shared" si="24"/>
        <v>0</v>
      </c>
      <c r="AN245" s="304">
        <f t="shared" si="24"/>
        <v>4738940</v>
      </c>
      <c r="AO245" s="131"/>
    </row>
    <row r="246" spans="1:41" ht="15.75" thickTop="1">
      <c r="A246" s="103"/>
      <c r="B246" s="639" t="s">
        <v>746</v>
      </c>
      <c r="C246" s="640"/>
      <c r="D246" s="640"/>
      <c r="E246" s="640"/>
      <c r="F246" s="640"/>
      <c r="G246" s="128"/>
      <c r="H246" s="100">
        <f aca="true" t="shared" si="25" ref="H246:AN246">SUM(H244:H245)</f>
        <v>1328354.29</v>
      </c>
      <c r="I246" s="100">
        <f t="shared" si="25"/>
        <v>1286403.1199999999</v>
      </c>
      <c r="J246" s="100">
        <f t="shared" si="25"/>
        <v>1248498.1199999999</v>
      </c>
      <c r="K246" s="100">
        <f t="shared" si="25"/>
        <v>1195723.1199999999</v>
      </c>
      <c r="L246" s="100">
        <f t="shared" si="25"/>
        <v>1140243.1199999999</v>
      </c>
      <c r="M246" s="100">
        <f t="shared" si="25"/>
        <v>1104513.1199999999</v>
      </c>
      <c r="N246" s="100">
        <f t="shared" si="25"/>
        <v>1069739.67</v>
      </c>
      <c r="O246" s="100">
        <f t="shared" si="25"/>
        <v>789208.28</v>
      </c>
      <c r="P246" s="100">
        <f t="shared" si="25"/>
        <v>765183.28</v>
      </c>
      <c r="Q246" s="100">
        <f t="shared" si="25"/>
        <v>740373.28</v>
      </c>
      <c r="R246" s="100">
        <f t="shared" si="25"/>
        <v>716253.28</v>
      </c>
      <c r="S246" s="100">
        <f t="shared" si="25"/>
        <v>692128.28</v>
      </c>
      <c r="T246" s="100">
        <f t="shared" si="25"/>
        <v>668428.28</v>
      </c>
      <c r="U246" s="100">
        <f t="shared" si="25"/>
        <v>643883.28</v>
      </c>
      <c r="V246" s="100">
        <f t="shared" si="25"/>
        <v>619768.28</v>
      </c>
      <c r="W246" s="100">
        <f t="shared" si="25"/>
        <v>561480.71</v>
      </c>
      <c r="X246" s="100">
        <f t="shared" si="25"/>
        <v>285727.88</v>
      </c>
      <c r="Y246" s="100">
        <f t="shared" si="25"/>
        <v>273292.88</v>
      </c>
      <c r="Z246" s="100">
        <f t="shared" si="25"/>
        <v>251704.38999999998</v>
      </c>
      <c r="AA246" s="100">
        <f t="shared" si="25"/>
        <v>235173</v>
      </c>
      <c r="AB246" s="100">
        <f t="shared" si="25"/>
        <v>223603</v>
      </c>
      <c r="AC246" s="100">
        <f t="shared" si="25"/>
        <v>22849.28</v>
      </c>
      <c r="AD246" s="100">
        <f t="shared" si="25"/>
        <v>0</v>
      </c>
      <c r="AE246" s="100">
        <f t="shared" si="25"/>
        <v>0</v>
      </c>
      <c r="AF246" s="100">
        <f t="shared" si="25"/>
        <v>0</v>
      </c>
      <c r="AG246" s="100">
        <f t="shared" si="25"/>
        <v>0</v>
      </c>
      <c r="AH246" s="100">
        <f t="shared" si="25"/>
        <v>0</v>
      </c>
      <c r="AI246" s="100">
        <f t="shared" si="25"/>
        <v>0</v>
      </c>
      <c r="AJ246" s="100">
        <f t="shared" si="25"/>
        <v>0</v>
      </c>
      <c r="AK246" s="100">
        <f t="shared" si="25"/>
        <v>0</v>
      </c>
      <c r="AL246" s="100">
        <f t="shared" si="25"/>
        <v>0</v>
      </c>
      <c r="AM246" s="100">
        <f t="shared" si="25"/>
        <v>0</v>
      </c>
      <c r="AN246" s="101">
        <f t="shared" si="25"/>
        <v>15862531.939999998</v>
      </c>
      <c r="AO246" s="131"/>
    </row>
    <row r="247" spans="1:41" ht="15">
      <c r="A247" s="104"/>
      <c r="B247" s="610" t="s">
        <v>964</v>
      </c>
      <c r="C247" s="611"/>
      <c r="D247" s="612"/>
      <c r="E247" s="105">
        <f>SUM(E230:E243)</f>
        <v>16597560.76</v>
      </c>
      <c r="F247" s="106"/>
      <c r="G247" s="104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31"/>
    </row>
    <row r="248" spans="1:41" ht="15">
      <c r="A248" s="104"/>
      <c r="B248" s="610" t="s">
        <v>734</v>
      </c>
      <c r="C248" s="611"/>
      <c r="D248" s="612"/>
      <c r="E248" s="108">
        <f>E213</f>
        <v>68157981</v>
      </c>
      <c r="F248" s="109"/>
      <c r="G248" s="109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31"/>
    </row>
    <row r="249" spans="1:41" ht="15">
      <c r="A249" s="104"/>
      <c r="B249" s="300"/>
      <c r="C249" s="301"/>
      <c r="D249" s="300"/>
      <c r="E249" s="303"/>
      <c r="F249" s="302"/>
      <c r="G249" s="302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31"/>
    </row>
    <row r="250" spans="1:41" ht="15">
      <c r="A250" s="104"/>
      <c r="B250" s="300"/>
      <c r="C250" s="301"/>
      <c r="D250" s="300"/>
      <c r="E250" s="622" t="s">
        <v>963</v>
      </c>
      <c r="F250" s="622"/>
      <c r="G250" s="622"/>
      <c r="H250" s="469">
        <f>H240</f>
        <v>294776.57</v>
      </c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31"/>
    </row>
    <row r="251" spans="1:41" ht="15">
      <c r="A251" s="298"/>
      <c r="B251" s="297"/>
      <c r="C251" s="296"/>
      <c r="D251" s="295"/>
      <c r="E251" s="132"/>
      <c r="F251" s="132"/>
      <c r="G251" s="132"/>
      <c r="H251" s="294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4"/>
    </row>
    <row r="252" spans="1:41" ht="15">
      <c r="A252" s="259"/>
      <c r="B252" s="259"/>
      <c r="C252" s="293"/>
      <c r="D252" s="292"/>
      <c r="E252" s="292"/>
      <c r="F252" s="290"/>
      <c r="G252" s="290"/>
      <c r="H252" s="290"/>
      <c r="I252" s="290"/>
      <c r="J252" s="290"/>
      <c r="K252" s="290"/>
      <c r="L252" s="291"/>
      <c r="M252" s="291"/>
      <c r="N252" s="291"/>
      <c r="O252" s="291"/>
      <c r="P252" s="291"/>
      <c r="Q252" s="291"/>
      <c r="R252" s="291"/>
      <c r="S252" s="291"/>
      <c r="T252" s="291"/>
      <c r="U252" s="291"/>
      <c r="V252" s="291"/>
      <c r="W252" s="291"/>
      <c r="X252" s="291"/>
      <c r="Y252" s="291"/>
      <c r="Z252" s="291"/>
      <c r="AA252" s="291"/>
      <c r="AB252" s="291"/>
      <c r="AC252" s="291"/>
      <c r="AD252" s="291"/>
      <c r="AE252" s="291"/>
      <c r="AF252" s="291"/>
      <c r="AG252" s="291"/>
      <c r="AH252" s="291"/>
      <c r="AI252" s="291"/>
      <c r="AJ252" s="291"/>
      <c r="AK252" s="291"/>
      <c r="AL252" s="291"/>
      <c r="AM252" s="291"/>
      <c r="AN252" s="290"/>
      <c r="AO252" s="289"/>
    </row>
    <row r="253" spans="1:41" ht="15">
      <c r="A253" s="283"/>
      <c r="B253" s="282"/>
      <c r="C253" s="288" t="s">
        <v>852</v>
      </c>
      <c r="D253" s="287"/>
      <c r="E253" s="280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  <c r="AL253" s="279"/>
      <c r="AM253" s="279"/>
      <c r="AN253" s="279"/>
      <c r="AO253" s="131"/>
    </row>
    <row r="254" spans="1:41" ht="15">
      <c r="A254" s="285"/>
      <c r="B254" s="625" t="s">
        <v>727</v>
      </c>
      <c r="C254" s="626"/>
      <c r="D254" s="626"/>
      <c r="E254" s="626"/>
      <c r="F254" s="626"/>
      <c r="G254" s="627"/>
      <c r="H254" s="110">
        <f aca="true" t="shared" si="26" ref="H254:AN254">H207+H244</f>
        <v>5515238.290000001</v>
      </c>
      <c r="I254" s="110">
        <f t="shared" si="26"/>
        <v>6033993.97</v>
      </c>
      <c r="J254" s="110">
        <f t="shared" si="26"/>
        <v>6459609.77</v>
      </c>
      <c r="K254" s="110">
        <f t="shared" si="26"/>
        <v>5971376.12</v>
      </c>
      <c r="L254" s="110">
        <f t="shared" si="26"/>
        <v>5731157.44</v>
      </c>
      <c r="M254" s="110">
        <f t="shared" si="26"/>
        <v>5770506.12</v>
      </c>
      <c r="N254" s="110">
        <f t="shared" si="26"/>
        <v>5966249.67</v>
      </c>
      <c r="O254" s="110">
        <f t="shared" si="26"/>
        <v>5826229.94</v>
      </c>
      <c r="P254" s="110">
        <f t="shared" si="26"/>
        <v>5758999.69</v>
      </c>
      <c r="Q254" s="110">
        <f t="shared" si="26"/>
        <v>5633615.510000001</v>
      </c>
      <c r="R254" s="110">
        <f t="shared" si="26"/>
        <v>5115271.07</v>
      </c>
      <c r="S254" s="110">
        <f t="shared" si="26"/>
        <v>4759080.22</v>
      </c>
      <c r="T254" s="110">
        <f t="shared" si="26"/>
        <v>4684328.57</v>
      </c>
      <c r="U254" s="110">
        <f t="shared" si="26"/>
        <v>4606590.36</v>
      </c>
      <c r="V254" s="110">
        <f t="shared" si="26"/>
        <v>4394467.08</v>
      </c>
      <c r="W254" s="110">
        <f t="shared" si="26"/>
        <v>4216878.71</v>
      </c>
      <c r="X254" s="110">
        <f t="shared" si="26"/>
        <v>3895984.71</v>
      </c>
      <c r="Y254" s="110">
        <f t="shared" si="26"/>
        <v>3800170.81</v>
      </c>
      <c r="Z254" s="110">
        <f t="shared" si="26"/>
        <v>3615711.43</v>
      </c>
      <c r="AA254" s="110">
        <f t="shared" si="26"/>
        <v>3558630.0300000003</v>
      </c>
      <c r="AB254" s="110">
        <f t="shared" si="26"/>
        <v>3513212</v>
      </c>
      <c r="AC254" s="110">
        <f t="shared" si="26"/>
        <v>3322293.28</v>
      </c>
      <c r="AD254" s="110">
        <f t="shared" si="26"/>
        <v>3262010</v>
      </c>
      <c r="AE254" s="110">
        <f t="shared" si="26"/>
        <v>2807612.29</v>
      </c>
      <c r="AF254" s="110">
        <f t="shared" si="26"/>
        <v>2337728</v>
      </c>
      <c r="AG254" s="110">
        <f t="shared" si="26"/>
        <v>1608227</v>
      </c>
      <c r="AH254" s="110">
        <f t="shared" si="26"/>
        <v>1342946</v>
      </c>
      <c r="AI254" s="110">
        <f t="shared" si="26"/>
        <v>1004862.3500000001</v>
      </c>
      <c r="AJ254" s="110">
        <f t="shared" si="26"/>
        <v>731238.8300000001</v>
      </c>
      <c r="AK254" s="110">
        <f t="shared" si="26"/>
        <v>521221.41000000003</v>
      </c>
      <c r="AL254" s="110">
        <f t="shared" si="26"/>
        <v>13567</v>
      </c>
      <c r="AM254" s="110">
        <f t="shared" si="26"/>
        <v>20230700.880000003</v>
      </c>
      <c r="AN254" s="110">
        <f t="shared" si="26"/>
        <v>121779007.66999999</v>
      </c>
      <c r="AO254" s="131"/>
    </row>
    <row r="255" spans="1:41" ht="15.75" thickBot="1">
      <c r="A255" s="286"/>
      <c r="B255" s="628" t="s">
        <v>728</v>
      </c>
      <c r="C255" s="629"/>
      <c r="D255" s="629"/>
      <c r="E255" s="629"/>
      <c r="F255" s="629"/>
      <c r="G255" s="630"/>
      <c r="H255" s="111">
        <f aca="true" t="shared" si="27" ref="H255:AN255">H208+H245</f>
        <v>5423660</v>
      </c>
      <c r="I255" s="111">
        <f t="shared" si="27"/>
        <v>5459285</v>
      </c>
      <c r="J255" s="111">
        <f t="shared" si="27"/>
        <v>5003675</v>
      </c>
      <c r="K255" s="111">
        <f t="shared" si="27"/>
        <v>4322330</v>
      </c>
      <c r="L255" s="111">
        <f t="shared" si="27"/>
        <v>3998520</v>
      </c>
      <c r="M255" s="111">
        <f t="shared" si="27"/>
        <v>3750173</v>
      </c>
      <c r="N255" s="111">
        <f t="shared" si="27"/>
        <v>3510585</v>
      </c>
      <c r="O255" s="111">
        <f t="shared" si="27"/>
        <v>3266335</v>
      </c>
      <c r="P255" s="111">
        <f t="shared" si="27"/>
        <v>3035475</v>
      </c>
      <c r="Q255" s="111">
        <f t="shared" si="27"/>
        <v>2791200</v>
      </c>
      <c r="R255" s="111">
        <f t="shared" si="27"/>
        <v>2564265</v>
      </c>
      <c r="S255" s="111">
        <f t="shared" si="27"/>
        <v>2355890</v>
      </c>
      <c r="T255" s="111">
        <f t="shared" si="27"/>
        <v>2166110</v>
      </c>
      <c r="U255" s="111">
        <f t="shared" si="27"/>
        <v>1967780</v>
      </c>
      <c r="V255" s="111">
        <f t="shared" si="27"/>
        <v>1778960</v>
      </c>
      <c r="W255" s="111">
        <f t="shared" si="27"/>
        <v>1598650</v>
      </c>
      <c r="X255" s="111">
        <f t="shared" si="27"/>
        <v>1433755</v>
      </c>
      <c r="Y255" s="111">
        <f t="shared" si="27"/>
        <v>1269475</v>
      </c>
      <c r="Z255" s="111">
        <f t="shared" si="27"/>
        <v>1113665</v>
      </c>
      <c r="AA255" s="111">
        <f t="shared" si="27"/>
        <v>964655</v>
      </c>
      <c r="AB255" s="111">
        <f t="shared" si="27"/>
        <v>820435</v>
      </c>
      <c r="AC255" s="111">
        <f t="shared" si="27"/>
        <v>675030</v>
      </c>
      <c r="AD255" s="111">
        <f t="shared" si="27"/>
        <v>540620</v>
      </c>
      <c r="AE255" s="111">
        <f t="shared" si="27"/>
        <v>411305</v>
      </c>
      <c r="AF255" s="111">
        <f t="shared" si="27"/>
        <v>301630</v>
      </c>
      <c r="AG255" s="111">
        <f t="shared" si="27"/>
        <v>209350</v>
      </c>
      <c r="AH255" s="111">
        <f t="shared" si="27"/>
        <v>145185</v>
      </c>
      <c r="AI255" s="111">
        <f t="shared" si="27"/>
        <v>90440</v>
      </c>
      <c r="AJ255" s="111">
        <f t="shared" si="27"/>
        <v>50040</v>
      </c>
      <c r="AK255" s="111">
        <f t="shared" si="27"/>
        <v>19560</v>
      </c>
      <c r="AL255" s="111">
        <f t="shared" si="27"/>
        <v>1015</v>
      </c>
      <c r="AM255" s="111">
        <f t="shared" si="27"/>
        <v>3252375</v>
      </c>
      <c r="AN255" s="111">
        <f t="shared" si="27"/>
        <v>61039053</v>
      </c>
      <c r="AO255" s="131"/>
    </row>
    <row r="256" spans="1:41" ht="15.75" thickTop="1">
      <c r="A256" s="112"/>
      <c r="B256" s="631" t="s">
        <v>748</v>
      </c>
      <c r="C256" s="632"/>
      <c r="D256" s="632"/>
      <c r="E256" s="632"/>
      <c r="F256" s="632"/>
      <c r="G256" s="633"/>
      <c r="H256" s="113">
        <f aca="true" t="shared" si="28" ref="H256:AN256">SUM(H254:H255)</f>
        <v>10938898.290000001</v>
      </c>
      <c r="I256" s="113">
        <f t="shared" si="28"/>
        <v>11493278.969999999</v>
      </c>
      <c r="J256" s="113">
        <f t="shared" si="28"/>
        <v>11463284.77</v>
      </c>
      <c r="K256" s="113">
        <f t="shared" si="28"/>
        <v>10293706.120000001</v>
      </c>
      <c r="L256" s="113">
        <f t="shared" si="28"/>
        <v>9729677.440000001</v>
      </c>
      <c r="M256" s="113">
        <f t="shared" si="28"/>
        <v>9520679.120000001</v>
      </c>
      <c r="N256" s="113">
        <f t="shared" si="28"/>
        <v>9476834.67</v>
      </c>
      <c r="O256" s="113">
        <f t="shared" si="28"/>
        <v>9092564.940000001</v>
      </c>
      <c r="P256" s="113">
        <f t="shared" si="28"/>
        <v>8794474.690000001</v>
      </c>
      <c r="Q256" s="113">
        <f t="shared" si="28"/>
        <v>8424815.510000002</v>
      </c>
      <c r="R256" s="113">
        <f t="shared" si="28"/>
        <v>7679536.07</v>
      </c>
      <c r="S256" s="113">
        <f t="shared" si="28"/>
        <v>7114970.22</v>
      </c>
      <c r="T256" s="113">
        <f t="shared" si="28"/>
        <v>6850438.57</v>
      </c>
      <c r="U256" s="113">
        <f t="shared" si="28"/>
        <v>6574370.36</v>
      </c>
      <c r="V256" s="113">
        <f t="shared" si="28"/>
        <v>6173427.08</v>
      </c>
      <c r="W256" s="113">
        <f t="shared" si="28"/>
        <v>5815528.71</v>
      </c>
      <c r="X256" s="113">
        <f t="shared" si="28"/>
        <v>5329739.71</v>
      </c>
      <c r="Y256" s="113">
        <f t="shared" si="28"/>
        <v>5069645.8100000005</v>
      </c>
      <c r="Z256" s="113">
        <f t="shared" si="28"/>
        <v>4729376.43</v>
      </c>
      <c r="AA256" s="113">
        <f t="shared" si="28"/>
        <v>4523285.03</v>
      </c>
      <c r="AB256" s="113">
        <f t="shared" si="28"/>
        <v>4333647</v>
      </c>
      <c r="AC256" s="113">
        <f t="shared" si="28"/>
        <v>3997323.28</v>
      </c>
      <c r="AD256" s="113">
        <f t="shared" si="28"/>
        <v>3802630</v>
      </c>
      <c r="AE256" s="113">
        <f t="shared" si="28"/>
        <v>3218917.29</v>
      </c>
      <c r="AF256" s="113">
        <f t="shared" si="28"/>
        <v>2639358</v>
      </c>
      <c r="AG256" s="113">
        <f t="shared" si="28"/>
        <v>1817577</v>
      </c>
      <c r="AH256" s="113">
        <f t="shared" si="28"/>
        <v>1488131</v>
      </c>
      <c r="AI256" s="113">
        <f t="shared" si="28"/>
        <v>1095302.35</v>
      </c>
      <c r="AJ256" s="113">
        <f t="shared" si="28"/>
        <v>781278.8300000001</v>
      </c>
      <c r="AK256" s="113">
        <f t="shared" si="28"/>
        <v>540781.41</v>
      </c>
      <c r="AL256" s="113">
        <f t="shared" si="28"/>
        <v>14582</v>
      </c>
      <c r="AM256" s="113">
        <f t="shared" si="28"/>
        <v>23483075.880000003</v>
      </c>
      <c r="AN256" s="113">
        <f t="shared" si="28"/>
        <v>182818060.67</v>
      </c>
      <c r="AO256" s="131"/>
    </row>
    <row r="257" spans="1:41" ht="15">
      <c r="A257" s="285"/>
      <c r="B257" s="634" t="s">
        <v>730</v>
      </c>
      <c r="C257" s="635"/>
      <c r="D257" s="635"/>
      <c r="E257" s="635"/>
      <c r="F257" s="636"/>
      <c r="G257" s="284" t="s">
        <v>731</v>
      </c>
      <c r="H257" s="114">
        <f aca="true" t="shared" si="29" ref="H257:AM257">SUM(H256/$E$248)</f>
        <v>0.16049328529845977</v>
      </c>
      <c r="I257" s="114">
        <f t="shared" si="29"/>
        <v>0.16862704559866581</v>
      </c>
      <c r="J257" s="114">
        <f t="shared" si="29"/>
        <v>0.16818697681200387</v>
      </c>
      <c r="K257" s="114">
        <f t="shared" si="29"/>
        <v>0.15102715733319624</v>
      </c>
      <c r="L257" s="114">
        <f t="shared" si="29"/>
        <v>0.14275184354419185</v>
      </c>
      <c r="M257" s="114">
        <f t="shared" si="29"/>
        <v>0.13968546280735636</v>
      </c>
      <c r="N257" s="114">
        <f t="shared" si="29"/>
        <v>0.1390421859767237</v>
      </c>
      <c r="O257" s="114">
        <f t="shared" si="29"/>
        <v>0.133404258849745</v>
      </c>
      <c r="P257" s="114">
        <f t="shared" si="29"/>
        <v>0.12903073948155833</v>
      </c>
      <c r="Q257" s="114">
        <f t="shared" si="29"/>
        <v>0.12360717536512711</v>
      </c>
      <c r="R257" s="114">
        <f t="shared" si="29"/>
        <v>0.11267258738195311</v>
      </c>
      <c r="S257" s="114">
        <f t="shared" si="29"/>
        <v>0.10438939234423625</v>
      </c>
      <c r="T257" s="114">
        <f t="shared" si="29"/>
        <v>0.10050823791273981</v>
      </c>
      <c r="U257" s="114">
        <f t="shared" si="29"/>
        <v>0.09645782142519745</v>
      </c>
      <c r="V257" s="114">
        <f t="shared" si="29"/>
        <v>0.09057526337231145</v>
      </c>
      <c r="W257" s="114">
        <f t="shared" si="29"/>
        <v>0.0853242514622022</v>
      </c>
      <c r="X257" s="114">
        <f t="shared" si="29"/>
        <v>0.07819685430529405</v>
      </c>
      <c r="Y257" s="114">
        <f t="shared" si="29"/>
        <v>0.07438080963695214</v>
      </c>
      <c r="Z257" s="114">
        <f t="shared" si="29"/>
        <v>0.06938844667361846</v>
      </c>
      <c r="AA257" s="114">
        <f t="shared" si="29"/>
        <v>0.06636471567430967</v>
      </c>
      <c r="AB257" s="114">
        <f t="shared" si="29"/>
        <v>0.06358238516484226</v>
      </c>
      <c r="AC257" s="114">
        <f t="shared" si="29"/>
        <v>0.058647912120518945</v>
      </c>
      <c r="AD257" s="114">
        <f t="shared" si="29"/>
        <v>0.05579141201380364</v>
      </c>
      <c r="AE257" s="114">
        <f t="shared" si="29"/>
        <v>0.04722729815016088</v>
      </c>
      <c r="AF257" s="114">
        <f t="shared" si="29"/>
        <v>0.03872412241788676</v>
      </c>
      <c r="AG257" s="114">
        <f t="shared" si="29"/>
        <v>0.026667119144858472</v>
      </c>
      <c r="AH257" s="114">
        <f t="shared" si="29"/>
        <v>0.021833554606026255</v>
      </c>
      <c r="AI257" s="114">
        <f t="shared" si="29"/>
        <v>0.016070052749948684</v>
      </c>
      <c r="AJ257" s="114">
        <f t="shared" si="29"/>
        <v>0.011462763693073598</v>
      </c>
      <c r="AK257" s="114">
        <f t="shared" si="29"/>
        <v>0.007934234583621249</v>
      </c>
      <c r="AL257" s="114">
        <f t="shared" si="29"/>
        <v>0.00021394413076877966</v>
      </c>
      <c r="AM257" s="114">
        <f t="shared" si="29"/>
        <v>0.3445389011743174</v>
      </c>
      <c r="AN257" s="114"/>
      <c r="AO257" s="131"/>
    </row>
    <row r="258" spans="1:41" ht="15">
      <c r="A258" s="285"/>
      <c r="B258" s="634" t="s">
        <v>732</v>
      </c>
      <c r="C258" s="635"/>
      <c r="D258" s="635"/>
      <c r="E258" s="635"/>
      <c r="F258" s="636"/>
      <c r="G258" s="284" t="s">
        <v>731</v>
      </c>
      <c r="H258" s="115">
        <f>SUM((H256-H215-H250)/$E$248)</f>
        <v>0.14612412477417722</v>
      </c>
      <c r="I258" s="115">
        <f aca="true" t="shared" si="30" ref="I258:AM258">SUM((I256)/$E$248)</f>
        <v>0.16862704559866581</v>
      </c>
      <c r="J258" s="115">
        <f t="shared" si="30"/>
        <v>0.16818697681200387</v>
      </c>
      <c r="K258" s="115">
        <f t="shared" si="30"/>
        <v>0.15102715733319624</v>
      </c>
      <c r="L258" s="115">
        <f t="shared" si="30"/>
        <v>0.14275184354419185</v>
      </c>
      <c r="M258" s="115">
        <f t="shared" si="30"/>
        <v>0.13968546280735636</v>
      </c>
      <c r="N258" s="115">
        <f t="shared" si="30"/>
        <v>0.1390421859767237</v>
      </c>
      <c r="O258" s="115">
        <f t="shared" si="30"/>
        <v>0.133404258849745</v>
      </c>
      <c r="P258" s="115">
        <f t="shared" si="30"/>
        <v>0.12903073948155833</v>
      </c>
      <c r="Q258" s="115">
        <f t="shared" si="30"/>
        <v>0.12360717536512711</v>
      </c>
      <c r="R258" s="115">
        <f t="shared" si="30"/>
        <v>0.11267258738195311</v>
      </c>
      <c r="S258" s="115">
        <f t="shared" si="30"/>
        <v>0.10438939234423625</v>
      </c>
      <c r="T258" s="115">
        <f t="shared" si="30"/>
        <v>0.10050823791273981</v>
      </c>
      <c r="U258" s="115">
        <f t="shared" si="30"/>
        <v>0.09645782142519745</v>
      </c>
      <c r="V258" s="115">
        <f t="shared" si="30"/>
        <v>0.09057526337231145</v>
      </c>
      <c r="W258" s="115">
        <f t="shared" si="30"/>
        <v>0.0853242514622022</v>
      </c>
      <c r="X258" s="115">
        <f t="shared" si="30"/>
        <v>0.07819685430529405</v>
      </c>
      <c r="Y258" s="115">
        <f t="shared" si="30"/>
        <v>0.07438080963695214</v>
      </c>
      <c r="Z258" s="115">
        <f t="shared" si="30"/>
        <v>0.06938844667361846</v>
      </c>
      <c r="AA258" s="115">
        <f t="shared" si="30"/>
        <v>0.06636471567430967</v>
      </c>
      <c r="AB258" s="115">
        <f t="shared" si="30"/>
        <v>0.06358238516484226</v>
      </c>
      <c r="AC258" s="115">
        <f t="shared" si="30"/>
        <v>0.058647912120518945</v>
      </c>
      <c r="AD258" s="115">
        <f t="shared" si="30"/>
        <v>0.05579141201380364</v>
      </c>
      <c r="AE258" s="115">
        <f t="shared" si="30"/>
        <v>0.04722729815016088</v>
      </c>
      <c r="AF258" s="115">
        <f t="shared" si="30"/>
        <v>0.03872412241788676</v>
      </c>
      <c r="AG258" s="115">
        <f t="shared" si="30"/>
        <v>0.026667119144858472</v>
      </c>
      <c r="AH258" s="115">
        <f t="shared" si="30"/>
        <v>0.021833554606026255</v>
      </c>
      <c r="AI258" s="115">
        <f t="shared" si="30"/>
        <v>0.016070052749948684</v>
      </c>
      <c r="AJ258" s="115">
        <f t="shared" si="30"/>
        <v>0.011462763693073598</v>
      </c>
      <c r="AK258" s="115">
        <f t="shared" si="30"/>
        <v>0.007934234583621249</v>
      </c>
      <c r="AL258" s="115">
        <f t="shared" si="30"/>
        <v>0.00021394413076877966</v>
      </c>
      <c r="AM258" s="115">
        <f t="shared" si="30"/>
        <v>0.3445389011743174</v>
      </c>
      <c r="AN258" s="116"/>
      <c r="AO258" s="131"/>
    </row>
    <row r="259" spans="1:41" ht="15">
      <c r="A259" s="283"/>
      <c r="B259" s="282"/>
      <c r="C259" s="281"/>
      <c r="D259" s="280"/>
      <c r="E259" s="280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7"/>
      <c r="AO259" s="131"/>
    </row>
    <row r="260" spans="1:41" ht="15.75">
      <c r="A260" s="276"/>
      <c r="B260" s="275"/>
      <c r="C260" s="274"/>
      <c r="D260" s="273"/>
      <c r="E260" s="273"/>
      <c r="F260" s="270"/>
      <c r="G260" s="270"/>
      <c r="H260" s="268"/>
      <c r="I260" s="268"/>
      <c r="J260" s="272"/>
      <c r="K260" s="272"/>
      <c r="L260" s="272"/>
      <c r="M260" s="272"/>
      <c r="N260" s="268"/>
      <c r="O260" s="271" t="s">
        <v>145</v>
      </c>
      <c r="P260" s="270"/>
      <c r="Q260" s="270"/>
      <c r="R260" s="270"/>
      <c r="S260" s="270"/>
      <c r="T260" s="267"/>
      <c r="U260" s="117"/>
      <c r="V260" s="269" t="s">
        <v>146</v>
      </c>
      <c r="W260" s="269"/>
      <c r="X260" s="269"/>
      <c r="Y260" s="269"/>
      <c r="Z260" s="269"/>
      <c r="AA260" s="269"/>
      <c r="AB260" s="269"/>
      <c r="AC260" s="269"/>
      <c r="AD260" s="269"/>
      <c r="AE260" s="269"/>
      <c r="AF260" s="269"/>
      <c r="AG260" s="269"/>
      <c r="AH260" s="269"/>
      <c r="AI260" s="269"/>
      <c r="AJ260" s="269"/>
      <c r="AK260" s="269"/>
      <c r="AL260" s="269"/>
      <c r="AM260" s="269"/>
      <c r="AN260" s="268"/>
      <c r="AO260" s="267"/>
    </row>
    <row r="261" spans="1:41" ht="15">
      <c r="A261" s="260"/>
      <c r="B261" s="259"/>
      <c r="C261" s="258"/>
      <c r="D261" s="257"/>
      <c r="E261" s="257"/>
      <c r="F261" s="256"/>
      <c r="G261" s="25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6"/>
      <c r="S261" s="266"/>
      <c r="T261" s="266"/>
      <c r="U261" s="266"/>
      <c r="V261" s="266"/>
      <c r="W261" s="266"/>
      <c r="X261" s="266"/>
      <c r="Y261" s="266"/>
      <c r="Z261" s="266"/>
      <c r="AA261" s="266"/>
      <c r="AB261" s="266"/>
      <c r="AC261" s="266"/>
      <c r="AD261" s="266"/>
      <c r="AE261" s="266"/>
      <c r="AF261" s="266"/>
      <c r="AG261" s="266"/>
      <c r="AH261" s="266"/>
      <c r="AI261" s="266"/>
      <c r="AJ261" s="266"/>
      <c r="AK261" s="266"/>
      <c r="AL261" s="266"/>
      <c r="AM261" s="266"/>
      <c r="AN261" s="266"/>
      <c r="AO261" s="134"/>
    </row>
    <row r="262" spans="1:41" ht="15">
      <c r="A262" s="260"/>
      <c r="B262" s="259"/>
      <c r="C262" s="258"/>
      <c r="D262" s="257"/>
      <c r="E262" s="257"/>
      <c r="F262" s="256"/>
      <c r="G262" s="256"/>
      <c r="H262" s="265"/>
      <c r="I262" s="265"/>
      <c r="J262" s="265"/>
      <c r="K262" s="256"/>
      <c r="L262" s="256"/>
      <c r="M262" s="256"/>
      <c r="N262" s="256"/>
      <c r="O262" s="256"/>
      <c r="P262" s="256"/>
      <c r="Q262" s="256"/>
      <c r="R262" s="265"/>
      <c r="S262" s="264"/>
      <c r="T262" s="264"/>
      <c r="U262" s="264"/>
      <c r="V262" s="264"/>
      <c r="W262" s="264"/>
      <c r="X262" s="264"/>
      <c r="Y262" s="264"/>
      <c r="Z262" s="264"/>
      <c r="AA262" s="264"/>
      <c r="AB262" s="264"/>
      <c r="AC262" s="264"/>
      <c r="AD262" s="264"/>
      <c r="AE262" s="264"/>
      <c r="AF262" s="264"/>
      <c r="AG262" s="264"/>
      <c r="AH262" s="264"/>
      <c r="AI262" s="264"/>
      <c r="AJ262" s="264"/>
      <c r="AK262" s="264"/>
      <c r="AL262" s="264"/>
      <c r="AM262" s="264"/>
      <c r="AN262" s="256"/>
      <c r="AO262" s="134"/>
    </row>
    <row r="263" spans="1:41" ht="15">
      <c r="A263" s="260"/>
      <c r="B263" s="259"/>
      <c r="C263" s="258"/>
      <c r="D263" s="257"/>
      <c r="E263" s="257"/>
      <c r="F263" s="256"/>
      <c r="G263" s="256"/>
      <c r="H263" s="460"/>
      <c r="I263" s="263"/>
      <c r="J263" s="263"/>
      <c r="K263" s="263"/>
      <c r="L263" s="263"/>
      <c r="M263" s="263"/>
      <c r="N263" s="263"/>
      <c r="O263" s="263"/>
      <c r="P263" s="263"/>
      <c r="Q263" s="263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56"/>
      <c r="AO263" s="134"/>
    </row>
    <row r="264" spans="1:41" ht="15">
      <c r="A264" s="260"/>
      <c r="B264" s="259"/>
      <c r="C264" s="262"/>
      <c r="D264" s="260"/>
      <c r="E264" s="260"/>
      <c r="F264" s="260"/>
      <c r="G264" s="261"/>
      <c r="H264" s="260"/>
      <c r="I264" s="261"/>
      <c r="J264" s="261"/>
      <c r="K264" s="261"/>
      <c r="L264" s="261"/>
      <c r="M264" s="261"/>
      <c r="N264" s="261"/>
      <c r="O264" s="261"/>
      <c r="P264" s="261"/>
      <c r="Q264" s="261"/>
      <c r="R264" s="256"/>
      <c r="S264" s="256"/>
      <c r="T264" s="256"/>
      <c r="U264" s="256"/>
      <c r="V264" s="256"/>
      <c r="W264" s="256"/>
      <c r="X264" s="256"/>
      <c r="Y264" s="256"/>
      <c r="Z264" s="256"/>
      <c r="AA264" s="256"/>
      <c r="AB264" s="256"/>
      <c r="AC264" s="256"/>
      <c r="AD264" s="256"/>
      <c r="AE264" s="256"/>
      <c r="AF264" s="256"/>
      <c r="AG264" s="256"/>
      <c r="AH264" s="256"/>
      <c r="AI264" s="256"/>
      <c r="AJ264" s="256"/>
      <c r="AK264" s="256"/>
      <c r="AL264" s="256"/>
      <c r="AM264" s="256"/>
      <c r="AN264" s="256"/>
      <c r="AO264" s="134"/>
    </row>
    <row r="265" spans="1:41" ht="15">
      <c r="A265" s="260"/>
      <c r="B265" s="260"/>
      <c r="C265" s="262"/>
      <c r="D265" s="260"/>
      <c r="E265" s="260"/>
      <c r="F265" s="260"/>
      <c r="G265" s="261"/>
      <c r="H265" s="256"/>
      <c r="I265" s="256"/>
      <c r="J265" s="256"/>
      <c r="K265" s="256"/>
      <c r="L265" s="256"/>
      <c r="M265" s="256"/>
      <c r="N265" s="256"/>
      <c r="O265" s="256"/>
      <c r="P265" s="256"/>
      <c r="Q265" s="256"/>
      <c r="R265" s="256"/>
      <c r="S265" s="256"/>
      <c r="T265" s="256"/>
      <c r="U265" s="256"/>
      <c r="V265" s="256"/>
      <c r="W265" s="256"/>
      <c r="X265" s="256"/>
      <c r="Y265" s="256"/>
      <c r="Z265" s="256"/>
      <c r="AA265" s="256"/>
      <c r="AB265" s="256"/>
      <c r="AC265" s="256"/>
      <c r="AD265" s="256"/>
      <c r="AE265" s="256"/>
      <c r="AF265" s="256"/>
      <c r="AG265" s="256"/>
      <c r="AH265" s="256"/>
      <c r="AI265" s="256"/>
      <c r="AJ265" s="256"/>
      <c r="AK265" s="256"/>
      <c r="AL265" s="256"/>
      <c r="AM265" s="256"/>
      <c r="AN265" s="256"/>
      <c r="AO265" s="134"/>
    </row>
    <row r="266" spans="1:41" ht="15">
      <c r="A266" s="260"/>
      <c r="B266" s="260"/>
      <c r="C266" s="262"/>
      <c r="D266" s="260"/>
      <c r="E266" s="260"/>
      <c r="F266" s="260"/>
      <c r="G266" s="261"/>
      <c r="H266" s="256"/>
      <c r="I266" s="256"/>
      <c r="J266" s="256"/>
      <c r="K266" s="256"/>
      <c r="L266" s="256"/>
      <c r="M266" s="256"/>
      <c r="N266" s="256"/>
      <c r="O266" s="256"/>
      <c r="P266" s="256"/>
      <c r="Q266" s="256"/>
      <c r="R266" s="256"/>
      <c r="S266" s="256"/>
      <c r="T266" s="256"/>
      <c r="U266" s="256"/>
      <c r="V266" s="256"/>
      <c r="W266" s="256"/>
      <c r="X266" s="256"/>
      <c r="Y266" s="256"/>
      <c r="Z266" s="256"/>
      <c r="AA266" s="256"/>
      <c r="AB266" s="256"/>
      <c r="AC266" s="256"/>
      <c r="AD266" s="256"/>
      <c r="AE266" s="256"/>
      <c r="AF266" s="256"/>
      <c r="AG266" s="256"/>
      <c r="AH266" s="256"/>
      <c r="AI266" s="256"/>
      <c r="AJ266" s="256"/>
      <c r="AK266" s="256"/>
      <c r="AL266" s="256"/>
      <c r="AM266" s="256"/>
      <c r="AN266" s="256"/>
      <c r="AO266" s="126"/>
    </row>
    <row r="267" spans="1:41" ht="15">
      <c r="A267" s="260"/>
      <c r="B267" s="260"/>
      <c r="C267" s="262"/>
      <c r="D267" s="260"/>
      <c r="E267" s="260"/>
      <c r="F267" s="260"/>
      <c r="G267" s="261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256"/>
      <c r="AH267" s="256"/>
      <c r="AI267" s="256"/>
      <c r="AJ267" s="256"/>
      <c r="AK267" s="256"/>
      <c r="AL267" s="256"/>
      <c r="AM267" s="256"/>
      <c r="AN267" s="256"/>
      <c r="AO267" s="126"/>
    </row>
    <row r="268" spans="1:41" ht="15">
      <c r="A268" s="260"/>
      <c r="B268" s="259"/>
      <c r="C268" s="262"/>
      <c r="D268" s="260"/>
      <c r="E268" s="260"/>
      <c r="F268" s="260"/>
      <c r="G268" s="261"/>
      <c r="H268" s="256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256"/>
      <c r="AH268" s="256"/>
      <c r="AI268" s="256"/>
      <c r="AJ268" s="256"/>
      <c r="AK268" s="256"/>
      <c r="AL268" s="256"/>
      <c r="AM268" s="256"/>
      <c r="AN268" s="256"/>
      <c r="AO268" s="126"/>
    </row>
    <row r="269" spans="1:41" ht="15">
      <c r="A269" s="260"/>
      <c r="B269" s="259"/>
      <c r="C269" s="262"/>
      <c r="D269" s="260"/>
      <c r="E269" s="260"/>
      <c r="F269" s="260"/>
      <c r="G269" s="261"/>
      <c r="H269" s="256"/>
      <c r="I269" s="256"/>
      <c r="J269" s="256"/>
      <c r="K269" s="256"/>
      <c r="L269" s="256"/>
      <c r="M269" s="256"/>
      <c r="N269" s="256"/>
      <c r="O269" s="256"/>
      <c r="P269" s="256"/>
      <c r="Q269" s="256"/>
      <c r="R269" s="256"/>
      <c r="S269" s="256"/>
      <c r="T269" s="256"/>
      <c r="U269" s="256"/>
      <c r="V269" s="256"/>
      <c r="W269" s="256"/>
      <c r="X269" s="256"/>
      <c r="Y269" s="256"/>
      <c r="Z269" s="256"/>
      <c r="AA269" s="256"/>
      <c r="AB269" s="256"/>
      <c r="AC269" s="256"/>
      <c r="AD269" s="256"/>
      <c r="AE269" s="256"/>
      <c r="AF269" s="256"/>
      <c r="AG269" s="256"/>
      <c r="AH269" s="256"/>
      <c r="AI269" s="256"/>
      <c r="AJ269" s="256"/>
      <c r="AK269" s="256"/>
      <c r="AL269" s="256"/>
      <c r="AM269" s="256"/>
      <c r="AN269" s="256"/>
      <c r="AO269" s="126"/>
    </row>
    <row r="270" spans="1:41" ht="15">
      <c r="A270" s="260"/>
      <c r="B270" s="259"/>
      <c r="C270" s="258"/>
      <c r="D270" s="257"/>
      <c r="E270" s="257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/>
      <c r="P270" s="256"/>
      <c r="Q270" s="256"/>
      <c r="R270" s="256"/>
      <c r="S270" s="256"/>
      <c r="T270" s="256"/>
      <c r="U270" s="256"/>
      <c r="V270" s="256"/>
      <c r="W270" s="256"/>
      <c r="X270" s="256"/>
      <c r="Y270" s="256"/>
      <c r="Z270" s="256"/>
      <c r="AA270" s="256"/>
      <c r="AB270" s="256"/>
      <c r="AC270" s="256"/>
      <c r="AD270" s="256"/>
      <c r="AE270" s="256"/>
      <c r="AF270" s="256"/>
      <c r="AG270" s="256"/>
      <c r="AH270" s="256"/>
      <c r="AI270" s="256"/>
      <c r="AJ270" s="256"/>
      <c r="AK270" s="256"/>
      <c r="AL270" s="256"/>
      <c r="AM270" s="256"/>
      <c r="AN270" s="256"/>
      <c r="AO270" s="126"/>
    </row>
    <row r="271" spans="1:41" ht="15">
      <c r="A271" s="260"/>
      <c r="B271" s="259"/>
      <c r="C271" s="258"/>
      <c r="D271" s="257"/>
      <c r="E271" s="257"/>
      <c r="F271" s="256"/>
      <c r="G271" s="256"/>
      <c r="H271" s="256"/>
      <c r="I271" s="256"/>
      <c r="J271" s="256"/>
      <c r="K271" s="256"/>
      <c r="L271" s="256"/>
      <c r="M271" s="256"/>
      <c r="N271" s="256"/>
      <c r="O271" s="256"/>
      <c r="P271" s="256"/>
      <c r="Q271" s="256"/>
      <c r="R271" s="256"/>
      <c r="S271" s="256"/>
      <c r="T271" s="256"/>
      <c r="U271" s="256"/>
      <c r="V271" s="256"/>
      <c r="W271" s="256"/>
      <c r="X271" s="256"/>
      <c r="Y271" s="256"/>
      <c r="Z271" s="256"/>
      <c r="AA271" s="256"/>
      <c r="AB271" s="256"/>
      <c r="AC271" s="256"/>
      <c r="AD271" s="256"/>
      <c r="AE271" s="256"/>
      <c r="AF271" s="256"/>
      <c r="AG271" s="256"/>
      <c r="AH271" s="256"/>
      <c r="AI271" s="256"/>
      <c r="AJ271" s="256"/>
      <c r="AK271" s="256"/>
      <c r="AL271" s="256"/>
      <c r="AM271" s="256"/>
      <c r="AN271" s="256"/>
      <c r="AO271" s="126"/>
    </row>
    <row r="272" spans="1:41" ht="15">
      <c r="A272" s="260"/>
      <c r="B272" s="259"/>
      <c r="C272" s="258"/>
      <c r="D272" s="257"/>
      <c r="E272" s="257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56"/>
      <c r="AJ272" s="256"/>
      <c r="AK272" s="256"/>
      <c r="AL272" s="256"/>
      <c r="AM272" s="256"/>
      <c r="AN272" s="256"/>
      <c r="AO272" s="126"/>
    </row>
    <row r="273" spans="1:41" ht="15">
      <c r="A273" s="260"/>
      <c r="B273" s="259"/>
      <c r="C273" s="258"/>
      <c r="D273" s="257"/>
      <c r="E273" s="257"/>
      <c r="F273" s="256"/>
      <c r="G273" s="256"/>
      <c r="H273" s="256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256"/>
      <c r="AH273" s="256"/>
      <c r="AI273" s="256"/>
      <c r="AJ273" s="256"/>
      <c r="AK273" s="256"/>
      <c r="AL273" s="256"/>
      <c r="AM273" s="256"/>
      <c r="AN273" s="256"/>
      <c r="AO273" s="126"/>
    </row>
    <row r="274" spans="1:41" ht="15">
      <c r="A274" s="260"/>
      <c r="B274" s="259"/>
      <c r="C274" s="258"/>
      <c r="D274" s="257"/>
      <c r="E274" s="257"/>
      <c r="F274" s="256"/>
      <c r="G274" s="256"/>
      <c r="H274" s="256"/>
      <c r="I274" s="256"/>
      <c r="J274" s="256"/>
      <c r="K274" s="256"/>
      <c r="L274" s="256"/>
      <c r="M274" s="256"/>
      <c r="N274" s="256"/>
      <c r="O274" s="256"/>
      <c r="P274" s="256"/>
      <c r="Q274" s="256"/>
      <c r="R274" s="256"/>
      <c r="S274" s="256"/>
      <c r="T274" s="256"/>
      <c r="U274" s="256"/>
      <c r="V274" s="256"/>
      <c r="W274" s="256"/>
      <c r="X274" s="256"/>
      <c r="Y274" s="256"/>
      <c r="Z274" s="256"/>
      <c r="AA274" s="256"/>
      <c r="AB274" s="256"/>
      <c r="AC274" s="256"/>
      <c r="AD274" s="256"/>
      <c r="AE274" s="256"/>
      <c r="AF274" s="256"/>
      <c r="AG274" s="256"/>
      <c r="AH274" s="256"/>
      <c r="AI274" s="256"/>
      <c r="AJ274" s="256"/>
      <c r="AK274" s="256"/>
      <c r="AL274" s="256"/>
      <c r="AM274" s="256"/>
      <c r="AN274" s="256"/>
      <c r="AO274" s="126"/>
    </row>
    <row r="275" spans="1:41" ht="15">
      <c r="A275" s="260"/>
      <c r="B275" s="259"/>
      <c r="C275" s="258"/>
      <c r="D275" s="257"/>
      <c r="E275" s="257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6"/>
      <c r="S275" s="256"/>
      <c r="T275" s="256"/>
      <c r="U275" s="256"/>
      <c r="V275" s="256"/>
      <c r="W275" s="256"/>
      <c r="X275" s="256"/>
      <c r="Y275" s="256"/>
      <c r="Z275" s="256"/>
      <c r="AA275" s="256"/>
      <c r="AB275" s="256"/>
      <c r="AC275" s="256"/>
      <c r="AD275" s="256"/>
      <c r="AE275" s="256"/>
      <c r="AF275" s="256"/>
      <c r="AG275" s="256"/>
      <c r="AH275" s="256"/>
      <c r="AI275" s="256"/>
      <c r="AJ275" s="256"/>
      <c r="AK275" s="256"/>
      <c r="AL275" s="256"/>
      <c r="AM275" s="256"/>
      <c r="AN275" s="256"/>
      <c r="AO275" s="126"/>
    </row>
    <row r="276" spans="1:41" ht="15">
      <c r="A276" s="260"/>
      <c r="B276" s="259"/>
      <c r="C276" s="258"/>
      <c r="D276" s="257"/>
      <c r="E276" s="257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/>
      <c r="P276" s="256"/>
      <c r="Q276" s="256"/>
      <c r="R276" s="256"/>
      <c r="S276" s="256"/>
      <c r="T276" s="256"/>
      <c r="U276" s="256"/>
      <c r="V276" s="256"/>
      <c r="W276" s="256"/>
      <c r="X276" s="256"/>
      <c r="Y276" s="256"/>
      <c r="Z276" s="256"/>
      <c r="AA276" s="256"/>
      <c r="AB276" s="256"/>
      <c r="AC276" s="256"/>
      <c r="AD276" s="256"/>
      <c r="AE276" s="256"/>
      <c r="AF276" s="256"/>
      <c r="AG276" s="256"/>
      <c r="AH276" s="256"/>
      <c r="AI276" s="256"/>
      <c r="AJ276" s="256"/>
      <c r="AK276" s="256"/>
      <c r="AL276" s="256"/>
      <c r="AM276" s="256"/>
      <c r="AN276" s="256"/>
      <c r="AO276" s="126"/>
    </row>
    <row r="277" spans="1:41" ht="15">
      <c r="A277" s="260"/>
      <c r="B277" s="259"/>
      <c r="C277" s="258"/>
      <c r="D277" s="257"/>
      <c r="E277" s="257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256"/>
      <c r="AH277" s="256"/>
      <c r="AI277" s="256"/>
      <c r="AJ277" s="256"/>
      <c r="AK277" s="256"/>
      <c r="AL277" s="256"/>
      <c r="AM277" s="256"/>
      <c r="AN277" s="256"/>
      <c r="AO277" s="126"/>
    </row>
    <row r="278" spans="1:41" ht="15">
      <c r="A278" s="260"/>
      <c r="B278" s="259"/>
      <c r="C278" s="258"/>
      <c r="D278" s="257"/>
      <c r="E278" s="257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256"/>
      <c r="AH278" s="256"/>
      <c r="AI278" s="256"/>
      <c r="AJ278" s="256"/>
      <c r="AK278" s="256"/>
      <c r="AL278" s="256"/>
      <c r="AM278" s="256"/>
      <c r="AN278" s="256"/>
      <c r="AO278" s="126"/>
    </row>
    <row r="279" spans="1:41" ht="15">
      <c r="A279" s="260"/>
      <c r="B279" s="259"/>
      <c r="C279" s="258"/>
      <c r="D279" s="257"/>
      <c r="E279" s="257"/>
      <c r="F279" s="256"/>
      <c r="G279" s="256"/>
      <c r="H279" s="256"/>
      <c r="I279" s="256"/>
      <c r="J279" s="256"/>
      <c r="K279" s="256"/>
      <c r="L279" s="256"/>
      <c r="M279" s="256"/>
      <c r="N279" s="256"/>
      <c r="O279" s="256"/>
      <c r="P279" s="256"/>
      <c r="Q279" s="256"/>
      <c r="R279" s="256"/>
      <c r="S279" s="256"/>
      <c r="T279" s="256"/>
      <c r="U279" s="256"/>
      <c r="V279" s="256"/>
      <c r="W279" s="256"/>
      <c r="X279" s="256"/>
      <c r="Y279" s="256"/>
      <c r="Z279" s="256"/>
      <c r="AA279" s="256"/>
      <c r="AB279" s="256"/>
      <c r="AC279" s="256"/>
      <c r="AD279" s="256"/>
      <c r="AE279" s="256"/>
      <c r="AF279" s="256"/>
      <c r="AG279" s="256"/>
      <c r="AH279" s="256"/>
      <c r="AI279" s="256"/>
      <c r="AJ279" s="256"/>
      <c r="AK279" s="256"/>
      <c r="AL279" s="256"/>
      <c r="AM279" s="256"/>
      <c r="AN279" s="256"/>
      <c r="AO279" s="126"/>
    </row>
    <row r="280" spans="1:41" ht="15">
      <c r="A280" s="260"/>
      <c r="B280" s="259"/>
      <c r="C280" s="258"/>
      <c r="D280" s="257"/>
      <c r="E280" s="257"/>
      <c r="F280" s="256"/>
      <c r="G280" s="256"/>
      <c r="H280" s="256"/>
      <c r="I280" s="256"/>
      <c r="J280" s="256"/>
      <c r="K280" s="256"/>
      <c r="L280" s="256"/>
      <c r="M280" s="256"/>
      <c r="N280" s="256"/>
      <c r="O280" s="256"/>
      <c r="P280" s="256"/>
      <c r="Q280" s="256"/>
      <c r="R280" s="256"/>
      <c r="S280" s="256"/>
      <c r="T280" s="256"/>
      <c r="U280" s="256"/>
      <c r="V280" s="256"/>
      <c r="W280" s="256"/>
      <c r="X280" s="256"/>
      <c r="Y280" s="256"/>
      <c r="Z280" s="256"/>
      <c r="AA280" s="256"/>
      <c r="AB280" s="256"/>
      <c r="AC280" s="256"/>
      <c r="AD280" s="256"/>
      <c r="AE280" s="256"/>
      <c r="AF280" s="256"/>
      <c r="AG280" s="256"/>
      <c r="AH280" s="256"/>
      <c r="AI280" s="256"/>
      <c r="AJ280" s="256"/>
      <c r="AK280" s="256"/>
      <c r="AL280" s="256"/>
      <c r="AM280" s="256"/>
      <c r="AN280" s="256"/>
      <c r="AO280" s="126"/>
    </row>
    <row r="281" spans="1:41" ht="15">
      <c r="A281" s="260"/>
      <c r="B281" s="259"/>
      <c r="C281" s="258"/>
      <c r="D281" s="257"/>
      <c r="E281" s="257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Q281" s="256"/>
      <c r="R281" s="256"/>
      <c r="S281" s="256"/>
      <c r="T281" s="256"/>
      <c r="U281" s="256"/>
      <c r="V281" s="256"/>
      <c r="W281" s="256"/>
      <c r="X281" s="256"/>
      <c r="Y281" s="256"/>
      <c r="Z281" s="256"/>
      <c r="AA281" s="256"/>
      <c r="AB281" s="256"/>
      <c r="AC281" s="256"/>
      <c r="AD281" s="256"/>
      <c r="AE281" s="256"/>
      <c r="AF281" s="256"/>
      <c r="AG281" s="256"/>
      <c r="AH281" s="256"/>
      <c r="AI281" s="256"/>
      <c r="AJ281" s="256"/>
      <c r="AK281" s="256"/>
      <c r="AL281" s="256"/>
      <c r="AM281" s="256"/>
      <c r="AN281" s="256"/>
      <c r="AO281" s="126"/>
    </row>
    <row r="282" spans="1:41" ht="15">
      <c r="A282" s="260"/>
      <c r="B282" s="259"/>
      <c r="C282" s="258"/>
      <c r="D282" s="257"/>
      <c r="E282" s="257"/>
      <c r="F282" s="256"/>
      <c r="G282" s="256"/>
      <c r="H282" s="256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256"/>
      <c r="AH282" s="256"/>
      <c r="AI282" s="256"/>
      <c r="AJ282" s="256"/>
      <c r="AK282" s="256"/>
      <c r="AL282" s="256"/>
      <c r="AM282" s="256"/>
      <c r="AN282" s="256"/>
      <c r="AO282" s="126"/>
    </row>
    <row r="283" spans="1:41" ht="15">
      <c r="A283" s="260"/>
      <c r="B283" s="259"/>
      <c r="C283" s="258"/>
      <c r="D283" s="257"/>
      <c r="E283" s="257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256"/>
      <c r="AD283" s="256"/>
      <c r="AE283" s="256"/>
      <c r="AF283" s="256"/>
      <c r="AG283" s="256"/>
      <c r="AH283" s="256"/>
      <c r="AI283" s="256"/>
      <c r="AJ283" s="256"/>
      <c r="AK283" s="256"/>
      <c r="AL283" s="256"/>
      <c r="AM283" s="256"/>
      <c r="AN283" s="256"/>
      <c r="AO283" s="126"/>
    </row>
    <row r="284" spans="1:41" ht="15">
      <c r="A284" s="260"/>
      <c r="B284" s="259"/>
      <c r="C284" s="258"/>
      <c r="D284" s="257"/>
      <c r="E284" s="257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256"/>
      <c r="AD284" s="256"/>
      <c r="AE284" s="256"/>
      <c r="AF284" s="256"/>
      <c r="AG284" s="256"/>
      <c r="AH284" s="256"/>
      <c r="AI284" s="256"/>
      <c r="AJ284" s="256"/>
      <c r="AK284" s="256"/>
      <c r="AL284" s="256"/>
      <c r="AM284" s="256"/>
      <c r="AN284" s="256"/>
      <c r="AO284" s="126"/>
    </row>
    <row r="285" spans="1:41" ht="15">
      <c r="A285" s="260"/>
      <c r="B285" s="259"/>
      <c r="C285" s="258"/>
      <c r="D285" s="257"/>
      <c r="E285" s="257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256"/>
      <c r="R285" s="256"/>
      <c r="S285" s="256"/>
      <c r="T285" s="256"/>
      <c r="U285" s="256"/>
      <c r="V285" s="256"/>
      <c r="W285" s="256"/>
      <c r="X285" s="256"/>
      <c r="Y285" s="256"/>
      <c r="Z285" s="256"/>
      <c r="AA285" s="256"/>
      <c r="AB285" s="256"/>
      <c r="AC285" s="256"/>
      <c r="AD285" s="256"/>
      <c r="AE285" s="256"/>
      <c r="AF285" s="256"/>
      <c r="AG285" s="256"/>
      <c r="AH285" s="256"/>
      <c r="AI285" s="256"/>
      <c r="AJ285" s="256"/>
      <c r="AK285" s="256"/>
      <c r="AL285" s="256"/>
      <c r="AM285" s="256"/>
      <c r="AN285" s="256"/>
      <c r="AO285" s="126"/>
    </row>
  </sheetData>
  <sheetProtection/>
  <mergeCells count="600">
    <mergeCell ref="B256:G256"/>
    <mergeCell ref="B257:F257"/>
    <mergeCell ref="B258:F258"/>
    <mergeCell ref="B244:F244"/>
    <mergeCell ref="B245:F245"/>
    <mergeCell ref="B246:F246"/>
    <mergeCell ref="B247:D247"/>
    <mergeCell ref="B248:D248"/>
    <mergeCell ref="A242:A243"/>
    <mergeCell ref="C242:C243"/>
    <mergeCell ref="D242:D243"/>
    <mergeCell ref="E242:E243"/>
    <mergeCell ref="B254:G254"/>
    <mergeCell ref="B255:G255"/>
    <mergeCell ref="A238:A239"/>
    <mergeCell ref="C238:C239"/>
    <mergeCell ref="D238:D239"/>
    <mergeCell ref="E238:E239"/>
    <mergeCell ref="E250:G250"/>
    <mergeCell ref="A240:A241"/>
    <mergeCell ref="C240:C241"/>
    <mergeCell ref="D240:D241"/>
    <mergeCell ref="E240:E241"/>
    <mergeCell ref="F240:F241"/>
    <mergeCell ref="A234:A235"/>
    <mergeCell ref="C234:C235"/>
    <mergeCell ref="D234:D235"/>
    <mergeCell ref="E234:E235"/>
    <mergeCell ref="F242:F243"/>
    <mergeCell ref="A236:A237"/>
    <mergeCell ref="C236:C237"/>
    <mergeCell ref="D236:D237"/>
    <mergeCell ref="E236:E237"/>
    <mergeCell ref="F236:F237"/>
    <mergeCell ref="A230:A231"/>
    <mergeCell ref="C230:C231"/>
    <mergeCell ref="D230:D231"/>
    <mergeCell ref="E230:E231"/>
    <mergeCell ref="F230:F231"/>
    <mergeCell ref="F238:F239"/>
    <mergeCell ref="A232:A233"/>
    <mergeCell ref="C232:C233"/>
    <mergeCell ref="D232:D233"/>
    <mergeCell ref="E232:E233"/>
    <mergeCell ref="E215:G215"/>
    <mergeCell ref="E222:G222"/>
    <mergeCell ref="E223:G223"/>
    <mergeCell ref="C225:G225"/>
    <mergeCell ref="C226:G226"/>
    <mergeCell ref="F234:F235"/>
    <mergeCell ref="C227:G227"/>
    <mergeCell ref="F232:F233"/>
    <mergeCell ref="B208:F208"/>
    <mergeCell ref="B209:F209"/>
    <mergeCell ref="B210:F210"/>
    <mergeCell ref="B211:F211"/>
    <mergeCell ref="B212:D212"/>
    <mergeCell ref="B213:D213"/>
    <mergeCell ref="A205:A206"/>
    <mergeCell ref="C205:C206"/>
    <mergeCell ref="D205:D206"/>
    <mergeCell ref="E205:E206"/>
    <mergeCell ref="F205:F206"/>
    <mergeCell ref="B207:F207"/>
    <mergeCell ref="A201:A202"/>
    <mergeCell ref="C201:C202"/>
    <mergeCell ref="D201:D202"/>
    <mergeCell ref="E201:E202"/>
    <mergeCell ref="F201:F202"/>
    <mergeCell ref="A203:A204"/>
    <mergeCell ref="C203:C204"/>
    <mergeCell ref="E203:E204"/>
    <mergeCell ref="F203:F20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L5:AL6"/>
    <mergeCell ref="AM5:AM6"/>
    <mergeCell ref="AN5:AN6"/>
    <mergeCell ref="A7:A8"/>
    <mergeCell ref="C7:C8"/>
    <mergeCell ref="D7:D8"/>
    <mergeCell ref="E7:E8"/>
    <mergeCell ref="F7:F8"/>
    <mergeCell ref="AF5:AF6"/>
    <mergeCell ref="AG5:AG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U5:U6"/>
    <mergeCell ref="V5:V6"/>
    <mergeCell ref="W5:W6"/>
    <mergeCell ref="X5:X6"/>
    <mergeCell ref="Y5:Y6"/>
    <mergeCell ref="AH5:AH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J1:M1"/>
    <mergeCell ref="I2:M2"/>
    <mergeCell ref="I3:M3"/>
    <mergeCell ref="A5:A6"/>
    <mergeCell ref="B5:B6"/>
    <mergeCell ref="C5:C6"/>
    <mergeCell ref="D5:D6"/>
    <mergeCell ref="E5:E6"/>
    <mergeCell ref="F5:F6"/>
    <mergeCell ref="H5:H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0" r:id="rId1"/>
  <headerFooter>
    <oddFooter>&amp;C&amp;P</oddFooter>
  </headerFooter>
  <rowBreaks count="1" manualBreakCount="1">
    <brk id="1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0.8515625" style="216" customWidth="1"/>
    <col min="2" max="2" width="48.28125" style="216" customWidth="1"/>
    <col min="3" max="3" width="12.421875" style="216" customWidth="1"/>
    <col min="4" max="4" width="15.00390625" style="216" customWidth="1"/>
    <col min="5" max="5" width="13.140625" style="216" customWidth="1"/>
    <col min="6" max="6" width="13.00390625" style="216" customWidth="1"/>
    <col min="7" max="7" width="15.421875" style="216" customWidth="1"/>
    <col min="8" max="16384" width="9.140625" style="216" customWidth="1"/>
  </cols>
  <sheetData>
    <row r="1" spans="1:7" s="244" customFormat="1" ht="15">
      <c r="A1" s="2"/>
      <c r="B1" s="243"/>
      <c r="C1" s="2"/>
      <c r="D1" s="2"/>
      <c r="E1" s="2"/>
      <c r="F1" s="482" t="s">
        <v>937</v>
      </c>
      <c r="G1" s="482"/>
    </row>
    <row r="2" spans="1:7" s="244" customFormat="1" ht="15">
      <c r="A2" s="2"/>
      <c r="B2" s="243"/>
      <c r="C2" s="2"/>
      <c r="D2" s="2"/>
      <c r="E2" s="2"/>
      <c r="F2" s="2"/>
      <c r="G2" s="172" t="s">
        <v>1087</v>
      </c>
    </row>
    <row r="3" spans="1:7" s="244" customFormat="1" ht="15">
      <c r="A3" s="2"/>
      <c r="B3" s="243"/>
      <c r="C3" s="2"/>
      <c r="D3" s="2"/>
      <c r="E3" s="2"/>
      <c r="F3" s="2"/>
      <c r="G3" s="139" t="s">
        <v>1088</v>
      </c>
    </row>
    <row r="4" spans="1:7" ht="15">
      <c r="A4" s="190"/>
      <c r="B4" s="64"/>
      <c r="C4" s="190"/>
      <c r="D4" s="190"/>
      <c r="E4" s="190"/>
      <c r="F4" s="190"/>
      <c r="G4" s="175"/>
    </row>
    <row r="5" spans="1:7" s="244" customFormat="1" ht="18.75">
      <c r="A5" s="480" t="s">
        <v>957</v>
      </c>
      <c r="B5" s="480"/>
      <c r="C5" s="480"/>
      <c r="D5" s="480"/>
      <c r="E5" s="480"/>
      <c r="F5" s="480"/>
      <c r="G5" s="480"/>
    </row>
    <row r="6" spans="1:7" ht="15">
      <c r="A6" s="190"/>
      <c r="B6" s="64"/>
      <c r="C6" s="190"/>
      <c r="D6" s="190"/>
      <c r="E6" s="190"/>
      <c r="F6" s="190"/>
      <c r="G6" s="190"/>
    </row>
    <row r="7" spans="1:7" ht="18.75">
      <c r="A7" s="641" t="s">
        <v>938</v>
      </c>
      <c r="B7" s="641"/>
      <c r="C7" s="641"/>
      <c r="D7" s="641"/>
      <c r="E7" s="641"/>
      <c r="F7" s="641"/>
      <c r="G7" s="641"/>
    </row>
    <row r="8" spans="1:7" ht="45">
      <c r="A8" s="173" t="s">
        <v>2</v>
      </c>
      <c r="B8" s="642" t="s">
        <v>844</v>
      </c>
      <c r="C8" s="643"/>
      <c r="D8" s="644"/>
      <c r="E8" s="173" t="s">
        <v>958</v>
      </c>
      <c r="F8" s="217" t="s">
        <v>939</v>
      </c>
      <c r="G8" s="173" t="s">
        <v>959</v>
      </c>
    </row>
    <row r="9" spans="1:7" s="244" customFormat="1" ht="15">
      <c r="A9" s="28" t="s">
        <v>940</v>
      </c>
      <c r="B9" s="645" t="s">
        <v>941</v>
      </c>
      <c r="C9" s="646"/>
      <c r="D9" s="647"/>
      <c r="E9" s="218">
        <v>0</v>
      </c>
      <c r="F9" s="219">
        <v>5000</v>
      </c>
      <c r="G9" s="220">
        <f>E9+F9</f>
        <v>5000</v>
      </c>
    </row>
    <row r="10" spans="1:7" s="244" customFormat="1" ht="15" hidden="1">
      <c r="A10" s="28" t="s">
        <v>942</v>
      </c>
      <c r="B10" s="645" t="s">
        <v>943</v>
      </c>
      <c r="C10" s="646"/>
      <c r="D10" s="647"/>
      <c r="E10" s="218">
        <v>0</v>
      </c>
      <c r="F10" s="219">
        <v>0</v>
      </c>
      <c r="G10" s="220">
        <f>E10+F10</f>
        <v>0</v>
      </c>
    </row>
    <row r="11" spans="1:7" s="244" customFormat="1" ht="15">
      <c r="A11" s="28" t="s">
        <v>140</v>
      </c>
      <c r="B11" s="645" t="s">
        <v>141</v>
      </c>
      <c r="C11" s="646"/>
      <c r="D11" s="647"/>
      <c r="E11" s="218">
        <v>15578</v>
      </c>
      <c r="F11" s="219">
        <v>0</v>
      </c>
      <c r="G11" s="220">
        <f>E11+F11</f>
        <v>15578</v>
      </c>
    </row>
    <row r="12" spans="1:7" s="244" customFormat="1" ht="15">
      <c r="A12" s="221"/>
      <c r="B12" s="648" t="s">
        <v>944</v>
      </c>
      <c r="C12" s="649"/>
      <c r="D12" s="650"/>
      <c r="E12" s="222">
        <f>SUM(E9:E11)</f>
        <v>15578</v>
      </c>
      <c r="F12" s="223">
        <f>SUM(F9:F11)</f>
        <v>5000</v>
      </c>
      <c r="G12" s="222">
        <f>SUM(G9:G11)</f>
        <v>20578</v>
      </c>
    </row>
    <row r="13" spans="1:7" s="244" customFormat="1" ht="15">
      <c r="A13" s="2"/>
      <c r="B13" s="243"/>
      <c r="C13" s="2"/>
      <c r="D13" s="2"/>
      <c r="E13" s="2"/>
      <c r="F13" s="2"/>
      <c r="G13" s="2"/>
    </row>
    <row r="14" spans="1:7" s="244" customFormat="1" ht="18.75">
      <c r="A14" s="641" t="s">
        <v>945</v>
      </c>
      <c r="B14" s="641"/>
      <c r="C14" s="641"/>
      <c r="D14" s="641"/>
      <c r="E14" s="641"/>
      <c r="F14" s="641"/>
      <c r="G14" s="641"/>
    </row>
    <row r="15" spans="1:7" ht="15">
      <c r="A15" s="651" t="s">
        <v>946</v>
      </c>
      <c r="B15" s="651" t="s">
        <v>844</v>
      </c>
      <c r="C15" s="651" t="s">
        <v>947</v>
      </c>
      <c r="D15" s="651"/>
      <c r="E15" s="651" t="s">
        <v>961</v>
      </c>
      <c r="F15" s="652" t="s">
        <v>948</v>
      </c>
      <c r="G15" s="485" t="s">
        <v>962</v>
      </c>
    </row>
    <row r="16" spans="1:7" ht="57">
      <c r="A16" s="651"/>
      <c r="B16" s="651"/>
      <c r="C16" s="224" t="s">
        <v>949</v>
      </c>
      <c r="D16" s="225" t="s">
        <v>960</v>
      </c>
      <c r="E16" s="651"/>
      <c r="F16" s="652"/>
      <c r="G16" s="485"/>
    </row>
    <row r="17" spans="1:7" ht="15" hidden="1">
      <c r="A17" s="245" t="s">
        <v>154</v>
      </c>
      <c r="B17" s="245" t="s">
        <v>155</v>
      </c>
      <c r="C17" s="246">
        <f>C18</f>
        <v>0</v>
      </c>
      <c r="D17" s="246">
        <f>D18</f>
        <v>0</v>
      </c>
      <c r="E17" s="247">
        <f aca="true" t="shared" si="0" ref="E17:E30">C17+D17</f>
        <v>0</v>
      </c>
      <c r="F17" s="248">
        <f>F18</f>
        <v>0</v>
      </c>
      <c r="G17" s="248">
        <f>E17+F17</f>
        <v>0</v>
      </c>
    </row>
    <row r="18" spans="1:7" ht="15" hidden="1">
      <c r="A18" s="249" t="s">
        <v>8</v>
      </c>
      <c r="B18" s="250" t="s">
        <v>189</v>
      </c>
      <c r="C18" s="233">
        <v>0</v>
      </c>
      <c r="D18" s="233">
        <v>0</v>
      </c>
      <c r="E18" s="234">
        <f t="shared" si="0"/>
        <v>0</v>
      </c>
      <c r="F18" s="120"/>
      <c r="G18" s="120">
        <f aca="true" t="shared" si="1" ref="G18:G31">E18+F18</f>
        <v>0</v>
      </c>
    </row>
    <row r="19" spans="1:7" ht="15">
      <c r="A19" s="226" t="s">
        <v>166</v>
      </c>
      <c r="B19" s="227" t="s">
        <v>167</v>
      </c>
      <c r="C19" s="228">
        <f>C20+C22</f>
        <v>0</v>
      </c>
      <c r="D19" s="228">
        <f>D20+D22+D21</f>
        <v>9188</v>
      </c>
      <c r="E19" s="229">
        <f t="shared" si="0"/>
        <v>9188</v>
      </c>
      <c r="F19" s="230">
        <f>SUM(F20:F22)</f>
        <v>0</v>
      </c>
      <c r="G19" s="230">
        <f t="shared" si="1"/>
        <v>9188</v>
      </c>
    </row>
    <row r="20" spans="1:7" ht="30" hidden="1">
      <c r="A20" s="231" t="s">
        <v>284</v>
      </c>
      <c r="B20" s="232" t="s">
        <v>950</v>
      </c>
      <c r="C20" s="233"/>
      <c r="D20" s="233"/>
      <c r="E20" s="234">
        <f t="shared" si="0"/>
        <v>0</v>
      </c>
      <c r="F20" s="120">
        <v>0</v>
      </c>
      <c r="G20" s="120">
        <f t="shared" si="1"/>
        <v>0</v>
      </c>
    </row>
    <row r="21" spans="1:7" s="244" customFormat="1" ht="30">
      <c r="A21" s="231" t="s">
        <v>296</v>
      </c>
      <c r="B21" s="232" t="s">
        <v>951</v>
      </c>
      <c r="C21" s="233">
        <v>0</v>
      </c>
      <c r="D21" s="233">
        <v>125</v>
      </c>
      <c r="E21" s="234">
        <f t="shared" si="0"/>
        <v>125</v>
      </c>
      <c r="F21" s="120">
        <v>0</v>
      </c>
      <c r="G21" s="120">
        <f t="shared" si="1"/>
        <v>125</v>
      </c>
    </row>
    <row r="22" spans="1:7" s="244" customFormat="1" ht="15">
      <c r="A22" s="231" t="s">
        <v>299</v>
      </c>
      <c r="B22" s="232" t="s">
        <v>952</v>
      </c>
      <c r="C22" s="233">
        <v>0</v>
      </c>
      <c r="D22" s="233">
        <v>9063</v>
      </c>
      <c r="E22" s="234">
        <f>C22+D22</f>
        <v>9063</v>
      </c>
      <c r="F22" s="120">
        <v>0</v>
      </c>
      <c r="G22" s="120">
        <f t="shared" si="1"/>
        <v>9063</v>
      </c>
    </row>
    <row r="23" spans="1:7" ht="15">
      <c r="A23" s="226" t="s">
        <v>23</v>
      </c>
      <c r="B23" s="227" t="s">
        <v>168</v>
      </c>
      <c r="C23" s="228">
        <f>C24+C25+C26</f>
        <v>0</v>
      </c>
      <c r="D23" s="228">
        <f>D24+D25+D26</f>
        <v>2981</v>
      </c>
      <c r="E23" s="228">
        <f>E24+E25+E26</f>
        <v>2981</v>
      </c>
      <c r="F23" s="228">
        <f>F24+F25+F26</f>
        <v>5000</v>
      </c>
      <c r="G23" s="228">
        <f>G24+G25+G26</f>
        <v>7981</v>
      </c>
    </row>
    <row r="24" spans="1:7" s="244" customFormat="1" ht="30">
      <c r="A24" s="231" t="s">
        <v>330</v>
      </c>
      <c r="B24" s="232" t="s">
        <v>331</v>
      </c>
      <c r="C24" s="235">
        <v>0</v>
      </c>
      <c r="D24" s="235">
        <v>2046</v>
      </c>
      <c r="E24" s="236">
        <f>C24+D24</f>
        <v>2046</v>
      </c>
      <c r="F24" s="237">
        <v>5000</v>
      </c>
      <c r="G24" s="237">
        <f t="shared" si="1"/>
        <v>7046</v>
      </c>
    </row>
    <row r="25" spans="1:7" ht="45">
      <c r="A25" s="231" t="s">
        <v>35</v>
      </c>
      <c r="B25" s="232" t="s">
        <v>457</v>
      </c>
      <c r="C25" s="233">
        <v>0</v>
      </c>
      <c r="D25" s="233">
        <v>410</v>
      </c>
      <c r="E25" s="234">
        <f t="shared" si="0"/>
        <v>410</v>
      </c>
      <c r="F25" s="120">
        <v>0</v>
      </c>
      <c r="G25" s="120">
        <f t="shared" si="1"/>
        <v>410</v>
      </c>
    </row>
    <row r="26" spans="1:7" ht="30">
      <c r="A26" s="231" t="s">
        <v>363</v>
      </c>
      <c r="B26" s="232" t="s">
        <v>953</v>
      </c>
      <c r="C26" s="233">
        <v>0</v>
      </c>
      <c r="D26" s="233">
        <v>525</v>
      </c>
      <c r="E26" s="234">
        <f t="shared" si="0"/>
        <v>525</v>
      </c>
      <c r="F26" s="120">
        <v>0</v>
      </c>
      <c r="G26" s="120">
        <f t="shared" si="1"/>
        <v>525</v>
      </c>
    </row>
    <row r="27" spans="1:7" ht="15">
      <c r="A27" s="226" t="s">
        <v>49</v>
      </c>
      <c r="B27" s="227" t="s">
        <v>169</v>
      </c>
      <c r="C27" s="228">
        <f>C28+C29+C30</f>
        <v>0</v>
      </c>
      <c r="D27" s="228">
        <f>D28+D29+D30</f>
        <v>3409</v>
      </c>
      <c r="E27" s="228">
        <f>E28+E29+E30</f>
        <v>3409</v>
      </c>
      <c r="F27" s="228">
        <f>F28+F29+F30</f>
        <v>0</v>
      </c>
      <c r="G27" s="228">
        <f>G28+G29+G30</f>
        <v>3409</v>
      </c>
    </row>
    <row r="28" spans="1:7" ht="15" hidden="1">
      <c r="A28" s="251" t="s">
        <v>375</v>
      </c>
      <c r="B28" s="252" t="s">
        <v>376</v>
      </c>
      <c r="C28" s="253">
        <v>0</v>
      </c>
      <c r="D28" s="253">
        <v>0</v>
      </c>
      <c r="E28" s="247">
        <f t="shared" si="0"/>
        <v>0</v>
      </c>
      <c r="F28" s="254">
        <v>0</v>
      </c>
      <c r="G28" s="254">
        <f t="shared" si="1"/>
        <v>0</v>
      </c>
    </row>
    <row r="29" spans="1:7" ht="15">
      <c r="A29" s="231" t="s">
        <v>410</v>
      </c>
      <c r="B29" s="232" t="s">
        <v>411</v>
      </c>
      <c r="C29" s="233">
        <v>0</v>
      </c>
      <c r="D29" s="233">
        <v>3409</v>
      </c>
      <c r="E29" s="234">
        <f t="shared" si="0"/>
        <v>3409</v>
      </c>
      <c r="F29" s="120">
        <v>0</v>
      </c>
      <c r="G29" s="120">
        <f t="shared" si="1"/>
        <v>3409</v>
      </c>
    </row>
    <row r="30" spans="1:7" ht="15" hidden="1">
      <c r="A30" s="251" t="s">
        <v>954</v>
      </c>
      <c r="B30" s="252" t="s">
        <v>955</v>
      </c>
      <c r="C30" s="253">
        <v>0</v>
      </c>
      <c r="D30" s="253">
        <v>0</v>
      </c>
      <c r="E30" s="247">
        <f t="shared" si="0"/>
        <v>0</v>
      </c>
      <c r="F30" s="254">
        <v>0</v>
      </c>
      <c r="G30" s="254">
        <f t="shared" si="1"/>
        <v>0</v>
      </c>
    </row>
    <row r="31" spans="1:7" ht="15.75">
      <c r="A31" s="238"/>
      <c r="B31" s="239" t="s">
        <v>956</v>
      </c>
      <c r="C31" s="240">
        <f>C17+C19+C23+C27</f>
        <v>0</v>
      </c>
      <c r="D31" s="241">
        <f>D17+D19+D23+D27</f>
        <v>15578</v>
      </c>
      <c r="E31" s="241">
        <f>E17+E19+E23+E27</f>
        <v>15578</v>
      </c>
      <c r="F31" s="242">
        <f>F17+F19+F23+F27</f>
        <v>5000</v>
      </c>
      <c r="G31" s="242">
        <f t="shared" si="1"/>
        <v>20578</v>
      </c>
    </row>
    <row r="32" spans="1:7" ht="15">
      <c r="A32" s="190"/>
      <c r="B32" s="64"/>
      <c r="C32" s="190"/>
      <c r="D32" s="190"/>
      <c r="E32" s="190"/>
      <c r="F32" s="190"/>
      <c r="G32" s="190"/>
    </row>
    <row r="33" spans="1:7" ht="15">
      <c r="A33" s="190"/>
      <c r="B33" s="64"/>
      <c r="C33" s="190"/>
      <c r="D33" s="190"/>
      <c r="E33" s="190"/>
      <c r="F33" s="190"/>
      <c r="G33" s="190"/>
    </row>
    <row r="34" spans="1:7" s="244" customFormat="1" ht="18.75">
      <c r="A34" s="492" t="s">
        <v>145</v>
      </c>
      <c r="B34" s="492"/>
      <c r="C34" s="2"/>
      <c r="D34" s="2"/>
      <c r="E34" s="2"/>
      <c r="F34" s="2"/>
      <c r="G34" s="255" t="s">
        <v>146</v>
      </c>
    </row>
  </sheetData>
  <sheetProtection/>
  <mergeCells count="16">
    <mergeCell ref="A34:B34"/>
    <mergeCell ref="B11:D11"/>
    <mergeCell ref="B12:D12"/>
    <mergeCell ref="A14:G14"/>
    <mergeCell ref="A15:A16"/>
    <mergeCell ref="B15:B16"/>
    <mergeCell ref="C15:D15"/>
    <mergeCell ref="E15:E16"/>
    <mergeCell ref="F15:F16"/>
    <mergeCell ref="G15:G16"/>
    <mergeCell ref="F1:G1"/>
    <mergeCell ref="A5:G5"/>
    <mergeCell ref="A7:G7"/>
    <mergeCell ref="B8:D8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J6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140625" style="136" customWidth="1"/>
    <col min="2" max="2" width="33.00390625" style="136" customWidth="1"/>
    <col min="3" max="3" width="8.00390625" style="136" customWidth="1"/>
    <col min="4" max="4" width="3.57421875" style="136" customWidth="1"/>
    <col min="5" max="5" width="13.7109375" style="136" customWidth="1"/>
    <col min="6" max="6" width="4.421875" style="136" customWidth="1"/>
    <col min="7" max="7" width="2.421875" style="136" customWidth="1"/>
    <col min="8" max="8" width="6.8515625" style="136" customWidth="1"/>
    <col min="9" max="9" width="1.7109375" style="136" customWidth="1"/>
    <col min="10" max="10" width="16.28125" style="136" customWidth="1"/>
    <col min="11" max="16384" width="9.140625" style="136" customWidth="1"/>
  </cols>
  <sheetData>
    <row r="1" ht="14.25" customHeight="1"/>
    <row r="2" spans="7:10" ht="15.75" customHeight="1">
      <c r="G2" s="518" t="s">
        <v>872</v>
      </c>
      <c r="H2" s="499"/>
      <c r="I2" s="499"/>
      <c r="J2" s="499"/>
    </row>
    <row r="3" spans="3:10" ht="15.75" customHeight="1">
      <c r="C3" s="518" t="s">
        <v>1087</v>
      </c>
      <c r="D3" s="499"/>
      <c r="E3" s="499"/>
      <c r="F3" s="499"/>
      <c r="G3" s="499"/>
      <c r="H3" s="499"/>
      <c r="I3" s="499"/>
      <c r="J3" s="499"/>
    </row>
    <row r="4" spans="4:10" ht="15.75" customHeight="1">
      <c r="D4" s="518" t="s">
        <v>1088</v>
      </c>
      <c r="E4" s="499"/>
      <c r="F4" s="499"/>
      <c r="G4" s="499"/>
      <c r="H4" s="499"/>
      <c r="I4" s="499"/>
      <c r="J4" s="499"/>
    </row>
    <row r="6" spans="1:10" ht="57" customHeight="1">
      <c r="A6" s="657" t="s">
        <v>1084</v>
      </c>
      <c r="B6" s="658"/>
      <c r="C6" s="658"/>
      <c r="D6" s="658"/>
      <c r="E6" s="658"/>
      <c r="F6" s="658"/>
      <c r="G6" s="658"/>
      <c r="H6" s="658"/>
      <c r="I6" s="658"/>
      <c r="J6" s="658"/>
    </row>
    <row r="7" spans="1:10" s="137" customFormat="1" ht="31.5" customHeight="1">
      <c r="A7" s="653" t="s">
        <v>844</v>
      </c>
      <c r="B7" s="654"/>
      <c r="C7" s="654"/>
      <c r="D7" s="655"/>
      <c r="E7" s="476" t="s">
        <v>1080</v>
      </c>
      <c r="F7" s="653" t="s">
        <v>1078</v>
      </c>
      <c r="G7" s="654"/>
      <c r="H7" s="655"/>
      <c r="I7" s="653" t="s">
        <v>1081</v>
      </c>
      <c r="J7" s="656"/>
    </row>
    <row r="8" spans="1:10" ht="9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 ht="31.5" customHeight="1">
      <c r="A9" s="509" t="s">
        <v>1036</v>
      </c>
      <c r="B9" s="506"/>
      <c r="C9" s="506"/>
      <c r="D9" s="506"/>
      <c r="E9" s="506"/>
      <c r="F9" s="506"/>
      <c r="G9" s="506"/>
      <c r="H9" s="506"/>
      <c r="I9" s="506"/>
      <c r="J9" s="506"/>
    </row>
    <row r="10" spans="1:10" ht="15" customHeight="1">
      <c r="A10" s="166"/>
      <c r="B10" s="505" t="s">
        <v>779</v>
      </c>
      <c r="C10" s="506"/>
      <c r="D10" s="506"/>
      <c r="E10" s="473">
        <v>125</v>
      </c>
      <c r="F10" s="507">
        <v>0</v>
      </c>
      <c r="G10" s="507"/>
      <c r="H10" s="507"/>
      <c r="I10" s="166"/>
      <c r="J10" s="473">
        <v>125</v>
      </c>
    </row>
    <row r="11" spans="1:10" ht="15" customHeight="1">
      <c r="A11" s="166"/>
      <c r="B11" s="505" t="s">
        <v>777</v>
      </c>
      <c r="C11" s="506"/>
      <c r="D11" s="506"/>
      <c r="E11" s="473">
        <v>125</v>
      </c>
      <c r="F11" s="507">
        <v>0</v>
      </c>
      <c r="G11" s="507"/>
      <c r="H11" s="507"/>
      <c r="I11" s="166"/>
      <c r="J11" s="473">
        <v>125</v>
      </c>
    </row>
    <row r="12" ht="9" customHeight="1"/>
    <row r="13" spans="1:10" ht="19.5" customHeight="1">
      <c r="A13" s="504" t="s">
        <v>1035</v>
      </c>
      <c r="B13" s="502"/>
      <c r="C13" s="502"/>
      <c r="D13" s="502"/>
      <c r="E13" s="502"/>
      <c r="F13" s="502"/>
      <c r="G13" s="502"/>
      <c r="H13" s="502"/>
      <c r="I13" s="502"/>
      <c r="J13" s="502"/>
    </row>
    <row r="14" spans="2:10" ht="15" customHeight="1">
      <c r="B14" s="501" t="s">
        <v>779</v>
      </c>
      <c r="C14" s="502"/>
      <c r="D14" s="502"/>
      <c r="E14" s="472">
        <v>125</v>
      </c>
      <c r="F14" s="503">
        <v>0</v>
      </c>
      <c r="G14" s="503"/>
      <c r="H14" s="503"/>
      <c r="J14" s="472">
        <v>125</v>
      </c>
    </row>
    <row r="15" spans="2:10" ht="15" customHeight="1">
      <c r="B15" s="501" t="s">
        <v>777</v>
      </c>
      <c r="C15" s="502"/>
      <c r="D15" s="502"/>
      <c r="E15" s="472">
        <v>125</v>
      </c>
      <c r="F15" s="503">
        <v>0</v>
      </c>
      <c r="G15" s="503"/>
      <c r="H15" s="503"/>
      <c r="J15" s="472">
        <v>125</v>
      </c>
    </row>
    <row r="16" ht="9" customHeight="1"/>
    <row r="17" spans="1:10" ht="19.5" customHeight="1">
      <c r="A17" s="509" t="s">
        <v>1034</v>
      </c>
      <c r="B17" s="506"/>
      <c r="C17" s="506"/>
      <c r="D17" s="506"/>
      <c r="E17" s="506"/>
      <c r="F17" s="506"/>
      <c r="G17" s="506"/>
      <c r="H17" s="506"/>
      <c r="I17" s="506"/>
      <c r="J17" s="506"/>
    </row>
    <row r="18" spans="1:10" ht="15" customHeight="1">
      <c r="A18" s="166"/>
      <c r="B18" s="505" t="s">
        <v>779</v>
      </c>
      <c r="C18" s="506"/>
      <c r="D18" s="506"/>
      <c r="E18" s="473">
        <v>9063</v>
      </c>
      <c r="F18" s="507">
        <v>0</v>
      </c>
      <c r="G18" s="507"/>
      <c r="H18" s="507"/>
      <c r="I18" s="166"/>
      <c r="J18" s="473">
        <v>9063</v>
      </c>
    </row>
    <row r="19" spans="1:10" ht="15" customHeight="1">
      <c r="A19" s="166"/>
      <c r="B19" s="505" t="s">
        <v>778</v>
      </c>
      <c r="C19" s="506"/>
      <c r="D19" s="506"/>
      <c r="E19" s="473">
        <v>1700</v>
      </c>
      <c r="F19" s="507">
        <v>0</v>
      </c>
      <c r="G19" s="507"/>
      <c r="H19" s="507"/>
      <c r="I19" s="166"/>
      <c r="J19" s="473">
        <v>1700</v>
      </c>
    </row>
    <row r="20" spans="1:10" ht="15" customHeight="1">
      <c r="A20" s="166"/>
      <c r="B20" s="505" t="s">
        <v>777</v>
      </c>
      <c r="C20" s="506"/>
      <c r="D20" s="506"/>
      <c r="E20" s="473">
        <v>6363</v>
      </c>
      <c r="F20" s="507">
        <v>0</v>
      </c>
      <c r="G20" s="507"/>
      <c r="H20" s="507"/>
      <c r="I20" s="166"/>
      <c r="J20" s="473">
        <v>6363</v>
      </c>
    </row>
    <row r="21" spans="1:10" ht="15" customHeight="1">
      <c r="A21" s="166"/>
      <c r="B21" s="505" t="s">
        <v>774</v>
      </c>
      <c r="C21" s="506"/>
      <c r="D21" s="506"/>
      <c r="E21" s="473">
        <v>1000</v>
      </c>
      <c r="F21" s="507">
        <v>0</v>
      </c>
      <c r="G21" s="507"/>
      <c r="H21" s="507"/>
      <c r="I21" s="166"/>
      <c r="J21" s="473">
        <v>1000</v>
      </c>
    </row>
    <row r="22" ht="9" customHeight="1"/>
    <row r="23" spans="1:10" ht="19.5" customHeight="1">
      <c r="A23" s="504" t="s">
        <v>1033</v>
      </c>
      <c r="B23" s="502"/>
      <c r="C23" s="502"/>
      <c r="D23" s="502"/>
      <c r="E23" s="502"/>
      <c r="F23" s="502"/>
      <c r="G23" s="502"/>
      <c r="H23" s="502"/>
      <c r="I23" s="502"/>
      <c r="J23" s="502"/>
    </row>
    <row r="24" spans="2:10" ht="15" customHeight="1">
      <c r="B24" s="501" t="s">
        <v>779</v>
      </c>
      <c r="C24" s="502"/>
      <c r="D24" s="502"/>
      <c r="E24" s="472">
        <v>9063</v>
      </c>
      <c r="F24" s="503">
        <v>0</v>
      </c>
      <c r="G24" s="503"/>
      <c r="H24" s="503"/>
      <c r="J24" s="472">
        <v>9063</v>
      </c>
    </row>
    <row r="25" spans="2:10" ht="15" customHeight="1">
      <c r="B25" s="501" t="s">
        <v>778</v>
      </c>
      <c r="C25" s="502"/>
      <c r="D25" s="502"/>
      <c r="E25" s="472">
        <v>1700</v>
      </c>
      <c r="F25" s="503">
        <v>0</v>
      </c>
      <c r="G25" s="503"/>
      <c r="H25" s="503"/>
      <c r="J25" s="472">
        <v>1700</v>
      </c>
    </row>
    <row r="26" spans="2:10" ht="15" customHeight="1">
      <c r="B26" s="501" t="s">
        <v>777</v>
      </c>
      <c r="C26" s="502"/>
      <c r="D26" s="502"/>
      <c r="E26" s="472">
        <v>6363</v>
      </c>
      <c r="F26" s="503">
        <v>0</v>
      </c>
      <c r="G26" s="503"/>
      <c r="H26" s="503"/>
      <c r="J26" s="472">
        <v>6363</v>
      </c>
    </row>
    <row r="27" spans="2:10" ht="15" customHeight="1">
      <c r="B27" s="501" t="s">
        <v>774</v>
      </c>
      <c r="C27" s="502"/>
      <c r="D27" s="502"/>
      <c r="E27" s="472">
        <v>1000</v>
      </c>
      <c r="F27" s="503">
        <v>0</v>
      </c>
      <c r="G27" s="503"/>
      <c r="H27" s="503"/>
      <c r="J27" s="472">
        <v>1000</v>
      </c>
    </row>
    <row r="28" ht="9" customHeight="1"/>
    <row r="29" spans="1:10" ht="31.5" customHeight="1">
      <c r="A29" s="509" t="s">
        <v>1025</v>
      </c>
      <c r="B29" s="506"/>
      <c r="C29" s="506"/>
      <c r="D29" s="506"/>
      <c r="E29" s="506"/>
      <c r="F29" s="506"/>
      <c r="G29" s="506"/>
      <c r="H29" s="506"/>
      <c r="I29" s="506"/>
      <c r="J29" s="506"/>
    </row>
    <row r="30" spans="1:10" ht="15" customHeight="1">
      <c r="A30" s="166"/>
      <c r="B30" s="505" t="s">
        <v>779</v>
      </c>
      <c r="C30" s="506"/>
      <c r="D30" s="506"/>
      <c r="E30" s="473">
        <v>2981</v>
      </c>
      <c r="F30" s="507">
        <v>5000</v>
      </c>
      <c r="G30" s="508"/>
      <c r="H30" s="508"/>
      <c r="I30" s="166"/>
      <c r="J30" s="473">
        <v>7981</v>
      </c>
    </row>
    <row r="31" spans="1:10" ht="15" customHeight="1">
      <c r="A31" s="166"/>
      <c r="B31" s="505" t="s">
        <v>777</v>
      </c>
      <c r="C31" s="506"/>
      <c r="D31" s="506"/>
      <c r="E31" s="473">
        <v>2471</v>
      </c>
      <c r="F31" s="507">
        <v>5000</v>
      </c>
      <c r="G31" s="508"/>
      <c r="H31" s="508"/>
      <c r="I31" s="166"/>
      <c r="J31" s="473">
        <v>7471</v>
      </c>
    </row>
    <row r="32" spans="1:10" ht="15" customHeight="1">
      <c r="A32" s="166"/>
      <c r="B32" s="505" t="s">
        <v>773</v>
      </c>
      <c r="C32" s="506"/>
      <c r="D32" s="506"/>
      <c r="E32" s="473">
        <v>510</v>
      </c>
      <c r="F32" s="507">
        <v>0</v>
      </c>
      <c r="G32" s="507"/>
      <c r="H32" s="507"/>
      <c r="I32" s="166"/>
      <c r="J32" s="473">
        <v>510</v>
      </c>
    </row>
    <row r="33" ht="9" customHeight="1"/>
    <row r="34" spans="1:10" ht="19.5" customHeight="1">
      <c r="A34" s="504" t="s">
        <v>809</v>
      </c>
      <c r="B34" s="502"/>
      <c r="C34" s="502"/>
      <c r="D34" s="502"/>
      <c r="E34" s="502"/>
      <c r="F34" s="502"/>
      <c r="G34" s="502"/>
      <c r="H34" s="502"/>
      <c r="I34" s="502"/>
      <c r="J34" s="502"/>
    </row>
    <row r="35" spans="2:10" ht="15" customHeight="1">
      <c r="B35" s="501" t="s">
        <v>779</v>
      </c>
      <c r="C35" s="502"/>
      <c r="D35" s="502"/>
      <c r="E35" s="472">
        <v>2046</v>
      </c>
      <c r="F35" s="503">
        <v>5000</v>
      </c>
      <c r="G35" s="499"/>
      <c r="H35" s="499"/>
      <c r="J35" s="472">
        <v>7046</v>
      </c>
    </row>
    <row r="36" spans="2:10" ht="15" customHeight="1">
      <c r="B36" s="501" t="s">
        <v>777</v>
      </c>
      <c r="C36" s="502"/>
      <c r="D36" s="502"/>
      <c r="E36" s="472">
        <v>2046</v>
      </c>
      <c r="F36" s="503">
        <v>5000</v>
      </c>
      <c r="G36" s="499"/>
      <c r="H36" s="499"/>
      <c r="J36" s="472">
        <v>7046</v>
      </c>
    </row>
    <row r="37" ht="9" customHeight="1"/>
    <row r="38" spans="1:10" ht="15">
      <c r="A38" s="504" t="s">
        <v>1023</v>
      </c>
      <c r="B38" s="502"/>
      <c r="C38" s="502"/>
      <c r="D38" s="502"/>
      <c r="E38" s="502"/>
      <c r="F38" s="502"/>
      <c r="G38" s="502"/>
      <c r="H38" s="502"/>
      <c r="I38" s="502"/>
      <c r="J38" s="502"/>
    </row>
    <row r="39" spans="2:10" ht="15" customHeight="1">
      <c r="B39" s="501" t="s">
        <v>779</v>
      </c>
      <c r="C39" s="502"/>
      <c r="D39" s="502"/>
      <c r="E39" s="472">
        <v>410</v>
      </c>
      <c r="F39" s="503">
        <v>0</v>
      </c>
      <c r="G39" s="503"/>
      <c r="H39" s="503"/>
      <c r="J39" s="472">
        <v>410</v>
      </c>
    </row>
    <row r="40" spans="2:10" ht="15" customHeight="1">
      <c r="B40" s="501" t="s">
        <v>777</v>
      </c>
      <c r="C40" s="502"/>
      <c r="D40" s="502"/>
      <c r="E40" s="472">
        <v>410</v>
      </c>
      <c r="F40" s="503">
        <v>0</v>
      </c>
      <c r="G40" s="503"/>
      <c r="H40" s="503"/>
      <c r="J40" s="472">
        <v>410</v>
      </c>
    </row>
    <row r="41" ht="9" customHeight="1"/>
    <row r="42" spans="1:10" ht="15">
      <c r="A42" s="504" t="s">
        <v>1021</v>
      </c>
      <c r="B42" s="502"/>
      <c r="C42" s="502"/>
      <c r="D42" s="502"/>
      <c r="E42" s="502"/>
      <c r="F42" s="502"/>
      <c r="G42" s="502"/>
      <c r="H42" s="502"/>
      <c r="I42" s="502"/>
      <c r="J42" s="502"/>
    </row>
    <row r="43" spans="2:10" ht="15" customHeight="1">
      <c r="B43" s="501" t="s">
        <v>779</v>
      </c>
      <c r="C43" s="502"/>
      <c r="D43" s="502"/>
      <c r="E43" s="472">
        <v>525</v>
      </c>
      <c r="F43" s="503">
        <v>0</v>
      </c>
      <c r="G43" s="503"/>
      <c r="H43" s="503"/>
      <c r="J43" s="472">
        <v>525</v>
      </c>
    </row>
    <row r="44" spans="2:10" ht="15" customHeight="1">
      <c r="B44" s="501" t="s">
        <v>777</v>
      </c>
      <c r="C44" s="502"/>
      <c r="D44" s="502"/>
      <c r="E44" s="472">
        <v>15</v>
      </c>
      <c r="F44" s="503">
        <v>0</v>
      </c>
      <c r="G44" s="503"/>
      <c r="H44" s="503"/>
      <c r="J44" s="472">
        <v>15</v>
      </c>
    </row>
    <row r="45" spans="2:10" ht="15" customHeight="1">
      <c r="B45" s="501" t="s">
        <v>773</v>
      </c>
      <c r="C45" s="502"/>
      <c r="D45" s="502"/>
      <c r="E45" s="472">
        <v>510</v>
      </c>
      <c r="F45" s="503">
        <v>0</v>
      </c>
      <c r="G45" s="503"/>
      <c r="H45" s="503"/>
      <c r="J45" s="472">
        <v>510</v>
      </c>
    </row>
    <row r="46" ht="9" customHeight="1"/>
    <row r="47" spans="1:10" ht="31.5" customHeight="1">
      <c r="A47" s="509" t="s">
        <v>1018</v>
      </c>
      <c r="B47" s="506"/>
      <c r="C47" s="506"/>
      <c r="D47" s="506"/>
      <c r="E47" s="506"/>
      <c r="F47" s="506"/>
      <c r="G47" s="506"/>
      <c r="H47" s="506"/>
      <c r="I47" s="506"/>
      <c r="J47" s="506"/>
    </row>
    <row r="48" spans="1:10" ht="15" customHeight="1">
      <c r="A48" s="166"/>
      <c r="B48" s="505" t="s">
        <v>779</v>
      </c>
      <c r="C48" s="506"/>
      <c r="D48" s="506"/>
      <c r="E48" s="473">
        <v>3409</v>
      </c>
      <c r="F48" s="507">
        <v>0</v>
      </c>
      <c r="G48" s="507"/>
      <c r="H48" s="507"/>
      <c r="I48" s="166"/>
      <c r="J48" s="473">
        <v>3409</v>
      </c>
    </row>
    <row r="49" spans="1:10" ht="15" customHeight="1">
      <c r="A49" s="166"/>
      <c r="B49" s="505" t="s">
        <v>777</v>
      </c>
      <c r="C49" s="506"/>
      <c r="D49" s="506"/>
      <c r="E49" s="473">
        <v>3409</v>
      </c>
      <c r="F49" s="507">
        <v>0</v>
      </c>
      <c r="G49" s="507"/>
      <c r="H49" s="507"/>
      <c r="I49" s="166"/>
      <c r="J49" s="473">
        <v>3409</v>
      </c>
    </row>
    <row r="50" ht="9" customHeight="1"/>
    <row r="51" spans="1:10" ht="15">
      <c r="A51" s="504" t="s">
        <v>784</v>
      </c>
      <c r="B51" s="502"/>
      <c r="C51" s="502"/>
      <c r="D51" s="502"/>
      <c r="E51" s="502"/>
      <c r="F51" s="502"/>
      <c r="G51" s="502"/>
      <c r="H51" s="502"/>
      <c r="I51" s="502"/>
      <c r="J51" s="502"/>
    </row>
    <row r="52" spans="2:10" ht="15" customHeight="1">
      <c r="B52" s="501" t="s">
        <v>779</v>
      </c>
      <c r="C52" s="502"/>
      <c r="D52" s="502"/>
      <c r="E52" s="472">
        <v>3409</v>
      </c>
      <c r="F52" s="503">
        <v>0</v>
      </c>
      <c r="G52" s="503"/>
      <c r="H52" s="503"/>
      <c r="J52" s="472">
        <v>3409</v>
      </c>
    </row>
    <row r="53" spans="2:10" ht="15" customHeight="1">
      <c r="B53" s="501" t="s">
        <v>777</v>
      </c>
      <c r="C53" s="502"/>
      <c r="D53" s="502"/>
      <c r="E53" s="472">
        <v>3409</v>
      </c>
      <c r="F53" s="503">
        <v>0</v>
      </c>
      <c r="G53" s="503"/>
      <c r="H53" s="503"/>
      <c r="J53" s="472">
        <v>3409</v>
      </c>
    </row>
    <row r="55" spans="1:10" ht="15">
      <c r="A55" s="504" t="s">
        <v>747</v>
      </c>
      <c r="B55" s="502"/>
      <c r="C55" s="502"/>
      <c r="D55" s="502"/>
      <c r="E55" s="502"/>
      <c r="F55" s="502"/>
      <c r="G55" s="502"/>
      <c r="H55" s="502"/>
      <c r="I55" s="502"/>
      <c r="J55" s="502"/>
    </row>
    <row r="56" spans="2:10" ht="15" customHeight="1">
      <c r="B56" s="495" t="s">
        <v>779</v>
      </c>
      <c r="C56" s="496"/>
      <c r="D56" s="496"/>
      <c r="E56" s="169">
        <v>15578</v>
      </c>
      <c r="F56" s="497">
        <v>5000</v>
      </c>
      <c r="G56" s="500"/>
      <c r="H56" s="500"/>
      <c r="I56" s="168"/>
      <c r="J56" s="169">
        <v>20578</v>
      </c>
    </row>
    <row r="57" spans="2:10" ht="15" customHeight="1">
      <c r="B57" s="495" t="s">
        <v>778</v>
      </c>
      <c r="C57" s="496"/>
      <c r="D57" s="496"/>
      <c r="E57" s="169">
        <v>1700</v>
      </c>
      <c r="F57" s="497">
        <v>0</v>
      </c>
      <c r="G57" s="497"/>
      <c r="H57" s="497"/>
      <c r="I57" s="168"/>
      <c r="J57" s="169">
        <v>1700</v>
      </c>
    </row>
    <row r="58" spans="2:10" ht="15" customHeight="1">
      <c r="B58" s="495" t="s">
        <v>777</v>
      </c>
      <c r="C58" s="496"/>
      <c r="D58" s="496"/>
      <c r="E58" s="169">
        <v>12368</v>
      </c>
      <c r="F58" s="497">
        <v>5000</v>
      </c>
      <c r="G58" s="500"/>
      <c r="H58" s="500"/>
      <c r="I58" s="168"/>
      <c r="J58" s="169">
        <v>17368</v>
      </c>
    </row>
    <row r="59" spans="2:10" ht="15" customHeight="1">
      <c r="B59" s="495" t="s">
        <v>774</v>
      </c>
      <c r="C59" s="496"/>
      <c r="D59" s="496"/>
      <c r="E59" s="169">
        <v>1000</v>
      </c>
      <c r="F59" s="497">
        <v>0</v>
      </c>
      <c r="G59" s="497"/>
      <c r="H59" s="497"/>
      <c r="I59" s="168"/>
      <c r="J59" s="169">
        <v>1000</v>
      </c>
    </row>
    <row r="60" spans="2:10" ht="15" customHeight="1">
      <c r="B60" s="495" t="s">
        <v>773</v>
      </c>
      <c r="C60" s="496"/>
      <c r="D60" s="496"/>
      <c r="E60" s="169">
        <v>510</v>
      </c>
      <c r="F60" s="497">
        <v>0</v>
      </c>
      <c r="G60" s="497"/>
      <c r="H60" s="497"/>
      <c r="I60" s="168"/>
      <c r="J60" s="169">
        <v>510</v>
      </c>
    </row>
    <row r="61" spans="8:10" ht="14.25" customHeight="1">
      <c r="H61" s="498"/>
      <c r="I61" s="499"/>
      <c r="J61" s="499"/>
    </row>
    <row r="63" spans="1:10" ht="15.75">
      <c r="A63" s="527" t="s">
        <v>145</v>
      </c>
      <c r="B63" s="527"/>
      <c r="J63" s="135" t="s">
        <v>146</v>
      </c>
    </row>
  </sheetData>
  <sheetProtection/>
  <mergeCells count="82">
    <mergeCell ref="F58:H58"/>
    <mergeCell ref="B59:D59"/>
    <mergeCell ref="F59:H59"/>
    <mergeCell ref="A55:J55"/>
    <mergeCell ref="B56:D56"/>
    <mergeCell ref="F56:H56"/>
    <mergeCell ref="B57:D57"/>
    <mergeCell ref="F57:H57"/>
    <mergeCell ref="A63:B63"/>
    <mergeCell ref="B60:D60"/>
    <mergeCell ref="F60:H60"/>
    <mergeCell ref="H61:J61"/>
    <mergeCell ref="B58:D58"/>
    <mergeCell ref="A51:J51"/>
    <mergeCell ref="B52:D52"/>
    <mergeCell ref="F52:H52"/>
    <mergeCell ref="B53:D53"/>
    <mergeCell ref="F53:H53"/>
    <mergeCell ref="A47:J47"/>
    <mergeCell ref="B48:D48"/>
    <mergeCell ref="F48:H48"/>
    <mergeCell ref="B49:D49"/>
    <mergeCell ref="F49:H49"/>
    <mergeCell ref="B44:D44"/>
    <mergeCell ref="F44:H44"/>
    <mergeCell ref="B45:D45"/>
    <mergeCell ref="F45:H45"/>
    <mergeCell ref="B40:D40"/>
    <mergeCell ref="F40:H40"/>
    <mergeCell ref="A42:J42"/>
    <mergeCell ref="B43:D43"/>
    <mergeCell ref="F43:H43"/>
    <mergeCell ref="B36:D36"/>
    <mergeCell ref="F36:H36"/>
    <mergeCell ref="A38:J38"/>
    <mergeCell ref="B39:D39"/>
    <mergeCell ref="F39:H39"/>
    <mergeCell ref="B32:D32"/>
    <mergeCell ref="F32:H32"/>
    <mergeCell ref="A34:J34"/>
    <mergeCell ref="B35:D35"/>
    <mergeCell ref="F35:H35"/>
    <mergeCell ref="A29:J29"/>
    <mergeCell ref="B30:D30"/>
    <mergeCell ref="F30:H30"/>
    <mergeCell ref="B31:D31"/>
    <mergeCell ref="F31:H31"/>
    <mergeCell ref="B26:D26"/>
    <mergeCell ref="F26:H26"/>
    <mergeCell ref="B27:D27"/>
    <mergeCell ref="F27:H27"/>
    <mergeCell ref="A23:J23"/>
    <mergeCell ref="B24:D24"/>
    <mergeCell ref="F24:H24"/>
    <mergeCell ref="B25:D25"/>
    <mergeCell ref="F25:H25"/>
    <mergeCell ref="B20:D20"/>
    <mergeCell ref="F20:H20"/>
    <mergeCell ref="B21:D21"/>
    <mergeCell ref="F21:H21"/>
    <mergeCell ref="B18:D18"/>
    <mergeCell ref="F18:H18"/>
    <mergeCell ref="B19:D19"/>
    <mergeCell ref="F19:H19"/>
    <mergeCell ref="F14:H14"/>
    <mergeCell ref="B15:D15"/>
    <mergeCell ref="F15:H15"/>
    <mergeCell ref="G2:J2"/>
    <mergeCell ref="C3:J3"/>
    <mergeCell ref="D4:J4"/>
    <mergeCell ref="A6:J6"/>
    <mergeCell ref="A7:D7"/>
    <mergeCell ref="A17:J17"/>
    <mergeCell ref="F7:H7"/>
    <mergeCell ref="I7:J7"/>
    <mergeCell ref="A9:J9"/>
    <mergeCell ref="B10:D10"/>
    <mergeCell ref="F10:H10"/>
    <mergeCell ref="B11:D11"/>
    <mergeCell ref="F11:H11"/>
    <mergeCell ref="A13:J13"/>
    <mergeCell ref="B14:D14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geOrder="overThenDown" paperSize="9" scale="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2024-05-02T12:32:56Z</cp:lastPrinted>
  <dcterms:created xsi:type="dcterms:W3CDTF">2021-02-15T14:27:02Z</dcterms:created>
  <dcterms:modified xsi:type="dcterms:W3CDTF">2024-05-22T11:52:31Z</dcterms:modified>
  <cp:category/>
  <cp:version/>
  <cp:contentType/>
  <cp:contentStatus/>
</cp:coreProperties>
</file>