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11985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<sst xmlns="http://schemas.openxmlformats.org/spreadsheetml/2006/main" count="1636" uniqueCount="920">
  <si>
    <t>PROJEKTS</t>
  </si>
  <si>
    <t>1.pielikums</t>
  </si>
  <si>
    <t>Pamatbudžeta ieņēmumi</t>
  </si>
  <si>
    <t>EUR</t>
  </si>
  <si>
    <t>Klasifikā-cijas kods</t>
  </si>
  <si>
    <t>Rādītāju nosaukums</t>
  </si>
  <si>
    <t>Grozījumi         + vai -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</si>
  <si>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</si>
  <si>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</si>
  <si>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</si>
  <si>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</si>
  <si>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</si>
  <si>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</si>
  <si>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</si>
  <si>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</si>
  <si>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</si>
  <si>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</si>
  <si>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</si>
  <si>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</si>
  <si>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</si>
  <si>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</si>
  <si>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</si>
  <si>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</si>
  <si>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</si>
  <si>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</si>
  <si>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</si>
  <si>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</si>
  <si>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</si>
  <si>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</si>
  <si>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</si>
  <si>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</si>
  <si>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</si>
  <si>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</si>
  <si>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</si>
  <si>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</si>
  <si>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</si>
  <si>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</si>
  <si>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</si>
  <si>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</si>
  <si>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</si>
  <si>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</si>
  <si>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</si>
  <si>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</si>
  <si>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</si>
  <si>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</si>
  <si>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</si>
  <si>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</si>
  <si>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</si>
  <si>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</si>
  <si>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</si>
  <si>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</si>
  <si>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</si>
  <si>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</si>
  <si>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</si>
  <si>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</si>
  <si>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</si>
  <si>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</si>
  <si>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</si>
  <si>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</si>
  <si>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</si>
  <si>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</si>
  <si>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</si>
  <si>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</si>
  <si>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</si>
  <si>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12.349.</t>
  </si>
  <si>
    <t>Ieņēmumi no budžeta iestādēm atmaksātiem pārējiem debitoru parādiem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</si>
  <si>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</si>
  <si>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</si>
  <si>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</si>
  <si>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</si>
  <si>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</si>
  <si>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</si>
  <si>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</si>
  <si>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</si>
  <si>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</si>
  <si>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</si>
  <si>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</si>
  <si>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</si>
  <si>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</si>
  <si>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</si>
  <si>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</si>
  <si>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</si>
  <si>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</si>
  <si>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</si>
  <si>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</si>
  <si>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</si>
  <si>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</si>
  <si>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</si>
  <si>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</si>
  <si>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</si>
  <si>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</si>
  <si>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</si>
  <si>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</si>
  <si>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</si>
  <si>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</si>
  <si>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</si>
  <si>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</si>
  <si>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</si>
  <si>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</si>
  <si>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</si>
  <si>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</si>
  <si>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</si>
  <si>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</si>
  <si>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</si>
  <si>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</si>
  <si>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</si>
  <si>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</si>
  <si>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</si>
  <si>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</si>
  <si>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</si>
  <si>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</si>
  <si>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</si>
  <si>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</si>
  <si>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</si>
  <si>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</si>
  <si>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</si>
  <si>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</si>
  <si>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</si>
  <si>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</si>
  <si>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</si>
  <si>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</si>
  <si>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</si>
  <si>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</si>
  <si>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</si>
  <si>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</si>
  <si>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</si>
  <si>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</si>
  <si>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</si>
  <si>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</si>
  <si>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</si>
  <si>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</si>
  <si>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</si>
  <si>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</si>
  <si>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</si>
  <si>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</si>
  <si>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</si>
  <si>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</si>
  <si>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</si>
  <si>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21.394.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</si>
  <si>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</si>
  <si>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</si>
  <si>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</si>
  <si>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</si>
  <si>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</si>
  <si>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</si>
  <si>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</si>
  <si>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</si>
  <si>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</si>
  <si>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</si>
  <si>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</si>
  <si>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</si>
  <si>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</si>
  <si>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</si>
  <si>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</si>
  <si>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</si>
  <si>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</si>
  <si>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</si>
  <si>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Grozījumi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</si>
  <si>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</si>
  <si>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</si>
  <si>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</si>
  <si>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</si>
  <si>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</si>
  <si>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</si>
  <si>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</si>
  <si>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</si>
  <si>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</si>
  <si>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</si>
  <si>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</si>
  <si>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</si>
  <si>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</si>
  <si>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</si>
  <si>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</si>
  <si>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</si>
  <si>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</si>
  <si>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</si>
  <si>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</si>
  <si>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</si>
  <si>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</si>
  <si>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</si>
  <si>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</si>
  <si>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</si>
  <si>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</si>
  <si>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</si>
  <si>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</si>
  <si>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</si>
  <si>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</si>
  <si>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</si>
  <si>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</si>
  <si>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</si>
  <si>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</si>
  <si>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</si>
  <si>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Resursi izdevumu segšanai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</si>
  <si>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</si>
  <si>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</si>
  <si>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</si>
  <si>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</si>
  <si>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</si>
  <si>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</si>
  <si>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</si>
  <si>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</si>
  <si>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</si>
  <si>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01.115.</t>
  </si>
  <si>
    <t>ESF projekts "Tehniskā palīdzība integrētu teritoriālo investīciju projektu iesniegumu atlašu nodrošināšanai Jelgavas pilsētas pašvaldībā"</t>
  </si>
  <si>
    <t>01.120.</t>
  </si>
  <si>
    <t>Finanšu un fiskālā darbība</t>
  </si>
  <si>
    <t>01.122.</t>
  </si>
  <si>
    <t>Nekustamā īpašuma nodokļa un citu pašvaldības ieņēmumu administrēšana</t>
  </si>
  <si>
    <t>01.123.</t>
  </si>
  <si>
    <t>PI "Pašvaldības iestāžu centralizētā grāmatvedība" darbības nodrošināšana</t>
  </si>
  <si>
    <t>01.124.</t>
  </si>
  <si>
    <t>Zvērināto auditoru pakalpojumi un grāmatvedības programmu uzturēšana</t>
  </si>
  <si>
    <t>01.330.</t>
  </si>
  <si>
    <t>Pārējo vispārējas nozīmes dienestu darbība un pakalpojumi</t>
  </si>
  <si>
    <t>01.331.</t>
  </si>
  <si>
    <t>Centralizēto datoru un datortīkla uzturēšana</t>
  </si>
  <si>
    <t>01.332.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</si>
  <si>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</si>
  <si>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</si>
  <si>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</si>
  <si>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</si>
  <si>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</si>
  <si>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</si>
  <si>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</si>
  <si>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</si>
  <si>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</si>
  <si>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</si>
  <si>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</si>
  <si>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</si>
  <si>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</si>
  <si>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</si>
  <si>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</si>
  <si>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</si>
  <si>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</si>
  <si>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Izdevumi neparedzētiem gadījumiem</t>
  </si>
  <si>
    <t>03.100.</t>
  </si>
  <si>
    <t>Policija</t>
  </si>
  <si>
    <t>03.111.</t>
  </si>
  <si>
    <t>03.112.</t>
  </si>
  <si>
    <t xml:space="preserve">ERAF projekts "Jelgavas pilsētas pašvaldības policijas ēkas energoefektivitātes paaugstināšana" 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</si>
  <si>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</si>
  <si>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</si>
  <si>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</si>
  <si>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</si>
  <si>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</si>
  <si>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</si>
  <si>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</si>
  <si>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</si>
  <si>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ERAF projekts "Tehniskās infrastruktūras sakārtošana uzņēmējdarbības attīstībai degradētajā teritorijā, 1.kārta"</t>
  </si>
  <si>
    <t>04.510.529.</t>
  </si>
  <si>
    <t>ERAF projekts "Tehniskās infrastruktūras sakārtošana uzņēmējdarbības attīstībai degradētajā teritorijā, 2.kārta"</t>
  </si>
  <si>
    <t>04.510.530.</t>
  </si>
  <si>
    <t>ERAF projekts "Tehniskās infrastruktūras sakārtošana uzņēmējdarbības attīstībai degradētajā teritorijā, 3.kārta"</t>
  </si>
  <si>
    <t>04.730.</t>
  </si>
  <si>
    <t>Tūrisms</t>
  </si>
  <si>
    <t>04.733.</t>
  </si>
  <si>
    <t>PI "Jelgavas reģionālais tūrisma centrs" darbības nodrošināšana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</si>
  <si>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</si>
  <si>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</si>
  <si>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</si>
  <si>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</si>
  <si>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ERAF projekts "Kompleksu pasākumu īstenošana Svētes upes caurplūdes atjaunošanai un plūdu apdraudējuma samazināšanai piegulošajās teritorijās"</t>
  </si>
  <si>
    <t>ERAF projekts "Jelgavas lidlauka poldera dambja pārbūve plūdu draudu novēršanai"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</si>
  <si>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</si>
  <si>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</si>
  <si>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</si>
  <si>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</si>
  <si>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</si>
  <si>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</si>
  <si>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</si>
  <si>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</si>
  <si>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</si>
  <si>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</si>
  <si>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</si>
  <si>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</si>
  <si>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</si>
  <si>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Pilsētas sanitārā tīrīšana (SIA "Zemgales EKO" funkcija)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</si>
  <si>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</si>
  <si>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</si>
  <si>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</si>
  <si>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</si>
  <si>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</si>
  <si>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</si>
  <si>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05.306.</t>
  </si>
  <si>
    <t>Eiropas Kohēzijas fonda projekts "Videi draudzīgas sabiedriskā transporta infrastruktūras attīstība Jelgavā"</t>
  </si>
  <si>
    <t>05.600.</t>
  </si>
  <si>
    <t>Pārējā nekur citur neklasificētā vides aizsardzība</t>
  </si>
  <si>
    <t>05.603.</t>
  </si>
  <si>
    <t>05.604.</t>
  </si>
  <si>
    <t>Projekts "Jelgavas decentralizētās kanalizācijas sistēmas izveide"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</si>
  <si>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</si>
  <si>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</si>
  <si>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</si>
  <si>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</si>
  <si>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</si>
  <si>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</si>
  <si>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</si>
  <si>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06.403.</t>
  </si>
  <si>
    <t>Emisiju kvotu izsolīšanas instrumenta projekts "Siltumnīcefekta gāzu emisiju samazināšana ar viedajām pilsētvides tehnoloģijām Jelgavā"</t>
  </si>
  <si>
    <t>06.600.</t>
  </si>
  <si>
    <t>Pārējā citur neklasificētā teritoriju un mājokļu apsaimniekošanas darbība</t>
  </si>
  <si>
    <t>06.601.</t>
  </si>
  <si>
    <t>PI "Pilsētsaimniecība" darbības nodrošināšana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</si>
  <si>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</si>
  <si>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</si>
  <si>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</si>
  <si>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</si>
  <si>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</si>
  <si>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</si>
  <si>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</si>
  <si>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</si>
  <si>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</si>
  <si>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06.608.</t>
  </si>
  <si>
    <t>ES Horizon 2020 programmas projekts  "THERMOS - termālās enerģijas resursu modelēšanas un optimizācijas sistēma"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</si>
  <si>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</si>
  <si>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</si>
  <si>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</si>
  <si>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</si>
  <si>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</si>
  <si>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</si>
  <si>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</si>
  <si>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</si>
  <si>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</si>
  <si>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</si>
  <si>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</si>
  <si>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</si>
  <si>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</si>
  <si>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</si>
  <si>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PI "Sporta servisa centrs" darbības nodrošināšana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</si>
  <si>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</si>
  <si>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</si>
  <si>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</si>
  <si>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</si>
  <si>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</si>
  <si>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</si>
  <si>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</si>
  <si>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</si>
  <si>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</si>
  <si>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08.214.</t>
  </si>
  <si>
    <t>Erasmus+ programmas projekts "Lauku un reģionālās bibliotēkas kā vietējie ģimenes uzņēmējdarbības centri"</t>
  </si>
  <si>
    <t>08.220.</t>
  </si>
  <si>
    <t>Muzeji un izstādes</t>
  </si>
  <si>
    <t>08.221.</t>
  </si>
  <si>
    <t>PI "Ģ.Eliasa Jelgavas Vēstures un mākslas muzejs" darbības nodrošināšana</t>
  </si>
  <si>
    <t>08.230.</t>
  </si>
  <si>
    <t>Kultūras centri, nami un klubi</t>
  </si>
  <si>
    <t>08.231.</t>
  </si>
  <si>
    <t>PI "Kultūra" darbības nodrošināšana</t>
  </si>
  <si>
    <t>08.232.</t>
  </si>
  <si>
    <t>PI "Kultūra" pasākumi</t>
  </si>
  <si>
    <t>08.240.</t>
  </si>
  <si>
    <t>Teātri, izrādes un koncertdarbība</t>
  </si>
  <si>
    <t>08.241.</t>
  </si>
  <si>
    <t>Jelgavas kamerorķestra darbības nodrošināšana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</si>
  <si>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</si>
  <si>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</si>
  <si>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</si>
  <si>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</si>
  <si>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</si>
  <si>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</si>
  <si>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</si>
  <si>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</si>
  <si>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</si>
  <si>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</si>
  <si>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</si>
  <si>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</si>
  <si>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</si>
  <si>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</si>
  <si>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</si>
  <si>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</si>
  <si>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</si>
  <si>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</si>
  <si>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</si>
  <si>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</si>
  <si>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</si>
  <si>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</si>
  <si>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</si>
  <si>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Pirmsskolas izglītības iestāžu darbības nodrošināšana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</si>
  <si>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</si>
  <si>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</si>
  <si>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</si>
  <si>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</si>
  <si>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</si>
  <si>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</si>
  <si>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</si>
  <si>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</si>
  <si>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</si>
  <si>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Jelgavas speciālo skolu un speciālās pirmsskolas izglītības programma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</si>
  <si>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</si>
  <si>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</si>
  <si>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</si>
  <si>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</si>
  <si>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09.219.6.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</si>
  <si>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</si>
  <si>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</si>
  <si>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</si>
  <si>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</si>
  <si>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</si>
  <si>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</si>
  <si>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</si>
  <si>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</si>
  <si>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ERAF projekts "Jelgavas Amatu vidusskolas infrastruktūras uzlabošana un mācību aprīkojuma modernizācija, 2.kārta"</t>
  </si>
  <si>
    <t>09.510.</t>
  </si>
  <si>
    <t>Interešu un profesionālās ievirzes izglītība</t>
  </si>
  <si>
    <t>Citi interešu izglītības pasākumi, t.sk. Jaunrades nams "Junda"</t>
  </si>
  <si>
    <t>Jelgavas Mākslas skolas darbības nodrošināšana</t>
  </si>
  <si>
    <t>09.513.</t>
  </si>
  <si>
    <t>Jelgavas sporta skolu darbības nodrošināšana</t>
  </si>
  <si>
    <t>09.518.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</si>
  <si>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</si>
  <si>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</si>
  <si>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</si>
  <si>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</si>
  <si>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</si>
  <si>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</si>
  <si>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</si>
  <si>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</si>
  <si>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</si>
  <si>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</si>
  <si>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</si>
  <si>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</si>
  <si>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</si>
  <si>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</si>
  <si>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</si>
  <si>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</si>
  <si>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</si>
  <si>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</si>
  <si>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</si>
  <si>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</si>
  <si>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</si>
  <si>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</si>
  <si>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</si>
  <si>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</si>
  <si>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</si>
  <si>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</si>
  <si>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</si>
  <si>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</si>
  <si>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</si>
  <si>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</si>
  <si>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</si>
  <si>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</si>
  <si>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</si>
  <si>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</si>
  <si>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</si>
  <si>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</si>
  <si>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</si>
  <si>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</si>
  <si>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10.129.</t>
  </si>
  <si>
    <t>ESF projekts "Par individuālā budžeta modeļa aprobāciju pilngadīgām personām ar garīga rakstura traucējumiem sabiedrībā balstītu sociālo pakalpojumu nodrošināšanai"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</si>
  <si>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</si>
  <si>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</si>
  <si>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</si>
  <si>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</si>
  <si>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</si>
  <si>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</si>
  <si>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</si>
  <si>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</si>
  <si>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</si>
  <si>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</si>
  <si>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</si>
  <si>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</si>
  <si>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</si>
  <si>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</si>
  <si>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</si>
  <si>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</si>
  <si>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</si>
  <si>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Dzīvokļa pabalsts un pabalsts individuālās apkures nodrošināšanai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</si>
  <si>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</si>
  <si>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</si>
  <si>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</si>
  <si>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</si>
  <si>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</si>
  <si>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</si>
  <si>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</si>
  <si>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</si>
  <si>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</si>
  <si>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</si>
  <si>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</si>
  <si>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</si>
  <si>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</si>
  <si>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</si>
  <si>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</si>
  <si>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</si>
  <si>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</si>
  <si>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</si>
  <si>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</si>
  <si>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</si>
  <si>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</si>
  <si>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10.923.</t>
  </si>
  <si>
    <t>Ārkārtas pabalstu izmaksa (JIP)</t>
  </si>
  <si>
    <t>SIA "Medicīnas sabiedrība OPTIMA -1"</t>
  </si>
  <si>
    <t>PAVISAM IZDEVUMI ( I+II)</t>
  </si>
  <si>
    <t>4.pielikums</t>
  </si>
  <si>
    <t>Nosaukums</t>
  </si>
  <si>
    <t>Grozījumi 
+ vai -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</si>
  <si>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</si>
  <si>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</si>
  <si>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</si>
  <si>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</si>
  <si>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</si>
  <si>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6000. Sociālie pabalsti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</si>
  <si>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</si>
  <si>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</si>
  <si>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</si>
  <si>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</si>
  <si>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</si>
  <si>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</si>
  <si>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</si>
  <si>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</si>
  <si>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03.112. ERAF projekts 'Jelgavas pilsētas pašvaldības ēkas energoefektivitātes paaugstināšana'</t>
  </si>
  <si>
    <t>04.510.529. ERAF projekts 'Tehniskās infrastruktūras sakārtošana uzņēmējdarbības attīstībai degradētajā teritorijā, 2.kārta'</t>
  </si>
  <si>
    <t>04.510.530. ERAF projekts 'Tehniskās infrastruktūras sakārtošana uzņēmējdarbības attīstībai degradētajā teritorijā, 3.kārta'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</si>
  <si>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</si>
  <si>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</si>
  <si>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</si>
  <si>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</si>
  <si>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</si>
  <si>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</si>
  <si>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</si>
  <si>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</si>
  <si>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</si>
  <si>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</si>
  <si>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08.292. Pilsētas nozīmes pasākumi</t>
  </si>
  <si>
    <t>09.111. Projekts - 'Ēkas pārbūve par pirmskolas izglītības iestādi Brīvības bulvārī 31 A, Jelgavā'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</si>
  <si>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</si>
  <si>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</si>
  <si>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09.219.8. ERAF projekts - 'Jelgavas pilsētas pašvaldības izglītības iestādes 'Jelgavas Tehnoloģiju vidusskola' energoefektivitātes paaugstināšana'</t>
  </si>
  <si>
    <t>09.533. ESF projekts - 'Proti un dari'</t>
  </si>
  <si>
    <t>09.534. ESF projekts - 'Nodarbināto personu profesionālās kompetences pilnveide'</t>
  </si>
  <si>
    <t>10.127. ESF projekts - 'Atver sirdi Zemgalē'</t>
  </si>
  <si>
    <t>10.711. Projekts - 'Sabiedrībā balstītu sociālo pakalpojumu infrastruktūras izveide Jelgavā'</t>
  </si>
  <si>
    <t>4000. Procentu izdevumi</t>
  </si>
  <si>
    <t>01.122. Nekustamā īpašuma nodokļa u.c. pašvaldības ieņēmumu administrēšana</t>
  </si>
  <si>
    <t>01.721. Parāda procentu nomaksa</t>
  </si>
  <si>
    <t>01.890.  Izdevumi neparedzētiem gadījumiem</t>
  </si>
  <si>
    <t>04.917. Jelgavas pilsētas pašvaldības grantu programma 'Atbalsts komersantiem un saimnieciskās darbības veicējiem'</t>
  </si>
  <si>
    <t>05.102.  Pilsētas sanitārā tīrīšana - SIA 'Zemgales EKO' funkcija</t>
  </si>
  <si>
    <t>06.603. Pašvaldības īpašumu apsaimniekošana - finansējums SIA 'Jelgavas nekustamā īpašuma pārvalde'</t>
  </si>
  <si>
    <t>07.623. Fonds 'Jelgavnieku veselības veicināšanas fonds'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</si>
  <si>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</si>
  <si>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</si>
  <si>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</si>
  <si>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</si>
  <si>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</si>
  <si>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</si>
  <si>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01.123. PI 'Pašvaldības iestāžu centralizētā grāmatvedība' darbības nodrošināšana</t>
  </si>
  <si>
    <t>04.733. PI 'Jelgavas reģionālais tūrisma centrs' darbības nodrošināšana</t>
  </si>
  <si>
    <t>04.511. Ceļu un ielu infrastruktūras funkcionēšana, izmantošana, būvniecība un uzturēšana</t>
  </si>
  <si>
    <t>05.101. Ielu, laukumu, publisko dārzu un parku tīrīšana, atkritumu savākšana</t>
  </si>
  <si>
    <t>05.202. Notekūdeņu apsaimniekošana</t>
  </si>
  <si>
    <t>06.401. Ielu apgaismošana</t>
  </si>
  <si>
    <t>06.601. PI 'Pilsētsaimniecība' darbības nodrošināšana</t>
  </si>
  <si>
    <t>10.504. Atbalsts Bezdarba gadījumā</t>
  </si>
  <si>
    <t>08.101. PI 'Sporta servisa centrs' darbības nodrošināšana</t>
  </si>
  <si>
    <t>08.103. Dotācijas sporta pasākumiem</t>
  </si>
  <si>
    <t>09.513. Jelgavas sporta skolu darbības nodrošināšana - kopsavilkums</t>
  </si>
  <si>
    <t>08.214. Erasmus+ programmas projekts 'Lauku un reģionālās bibliotēkas kā vietējie ģimenes uzņēmējdarbības centri'</t>
  </si>
  <si>
    <t>08.221. PI 'Ģ.Eliasa Jelgavas Vēstures un mākslas muzejs' darbības nodrošināšana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</si>
  <si>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</si>
  <si>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</si>
  <si>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</si>
  <si>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</si>
  <si>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</si>
  <si>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</si>
  <si>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</si>
  <si>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</si>
  <si>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</si>
  <si>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</si>
  <si>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</si>
  <si>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</si>
  <si>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</si>
  <si>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09.512. Jelgavas Mākslas skolas darbības nodrošināšana</t>
  </si>
  <si>
    <t>10.922. Braukšanas maksas atvieglojumi skolēniem sabiedriskajā transportā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</si>
  <si>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</si>
  <si>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</si>
  <si>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</si>
  <si>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</si>
  <si>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</si>
  <si>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</si>
  <si>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</si>
  <si>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</si>
  <si>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</si>
  <si>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</si>
  <si>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10.129. ESF projekts 'Par individuālā budžeta modeļa aprobāciju pilngadīgām personām ar garīga rakstura traucējumiem sabiedrībā balstītu sociālo pakalpojumu nodrošināšanai'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</si>
  <si>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</si>
  <si>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</si>
  <si>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</si>
  <si>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</si>
  <si>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</si>
  <si>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</si>
  <si>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</si>
  <si>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</si>
  <si>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</si>
  <si>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</si>
  <si>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</si>
  <si>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</si>
  <si>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</si>
  <si>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</si>
  <si>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</si>
  <si>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</si>
  <si>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</si>
  <si>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</si>
  <si>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</si>
  <si>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</si>
  <si>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</si>
  <si>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</si>
  <si>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</si>
  <si>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</si>
  <si>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</si>
  <si>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</si>
  <si>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</si>
  <si>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</si>
  <si>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</si>
  <si>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</si>
  <si>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</si>
  <si>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</si>
  <si>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</si>
  <si>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</si>
  <si>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23.01.2015. - 20.01.2035</t>
  </si>
  <si>
    <t>A2/1/15/13</t>
  </si>
  <si>
    <t>23.01.2015. - 20.01.2035.</t>
  </si>
  <si>
    <t>A2/1/15/14</t>
  </si>
  <si>
    <t>20.05.2015. - 20.05.2035.</t>
  </si>
  <si>
    <t>A2/1/15/241</t>
  </si>
  <si>
    <t>Valsts Kase</t>
  </si>
  <si>
    <t>18.06.2015.- 20.06.2035.</t>
  </si>
  <si>
    <t>A2/1/15/322</t>
  </si>
  <si>
    <t>02.10.2015.-20.09.2035.</t>
  </si>
  <si>
    <t>A2/1/15/569</t>
  </si>
  <si>
    <t>07.06.2017.-20.03.2047.</t>
  </si>
  <si>
    <t>A2/1/17/364</t>
  </si>
  <si>
    <t>07.06.2017.-20.11.2036.</t>
  </si>
  <si>
    <t>A2/1/17/365</t>
  </si>
  <si>
    <t>03.07.2017.-20.11.2036.</t>
  </si>
  <si>
    <t>A2/1/17/467</t>
  </si>
  <si>
    <t>A2/1/17/465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</si>
  <si>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</si>
  <si>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</si>
  <si>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</si>
  <si>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</si>
  <si>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</si>
  <si>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</si>
  <si>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</si>
  <si>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</si>
  <si>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</si>
  <si>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</si>
  <si>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</si>
  <si>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</si>
  <si>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</si>
  <si>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</si>
  <si>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</si>
  <si>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</si>
  <si>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</si>
  <si>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</si>
  <si>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</si>
  <si>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</si>
  <si>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</si>
  <si>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</si>
  <si>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</si>
  <si>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</si>
  <si>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</si>
  <si>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</si>
  <si>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</si>
  <si>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</si>
  <si>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</si>
  <si>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</si>
  <si>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</si>
  <si>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</si>
  <si>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</si>
  <si>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</si>
  <si>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</si>
  <si>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30.08.2018.- 20.06.2038.</t>
  </si>
  <si>
    <t>A2/1/18/602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</si>
  <si>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</si>
  <si>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</si>
  <si>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</si>
  <si>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</si>
  <si>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</si>
  <si>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</si>
  <si>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</si>
  <si>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</si>
  <si>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</si>
  <si>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</si>
  <si>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</si>
  <si>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</si>
  <si>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</si>
  <si>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</si>
  <si>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</si>
  <si>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</si>
  <si>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</si>
  <si>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</si>
  <si>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</si>
  <si>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</si>
  <si>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</si>
  <si>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</si>
  <si>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</si>
  <si>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</si>
  <si>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</si>
  <si>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A2/1/19/339</t>
  </si>
  <si>
    <t>VB līdzfinansēts projekts "Miera ielas un Aizsargu ielas asfalta seguma atjaunošana un tilta pār Platones upi pārbūve"</t>
  </si>
  <si>
    <t>A2/1/19/340</t>
  </si>
  <si>
    <t>31.07.2020.-20.07.2050.</t>
  </si>
  <si>
    <t>A2/1/20/470</t>
  </si>
  <si>
    <t>Projekts “Romas ielas asfaltbetona seguma izbūve no Turaidas ielas līdz pilsētas administratīvajai robežai”</t>
  </si>
  <si>
    <t>04.08.2020.-20.07.2040.</t>
  </si>
  <si>
    <t>A2/1/20/501</t>
  </si>
  <si>
    <t>Projekts “Satiksmes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</si>
  <si>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</si>
  <si>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</si>
  <si>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</si>
  <si>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</si>
  <si>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</si>
  <si>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</si>
  <si>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</si>
  <si>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</si>
  <si>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</si>
  <si>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</si>
  <si>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</si>
  <si>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</si>
  <si>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</si>
  <si>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03.12.2020.-21.11.2050.</t>
  </si>
  <si>
    <t>A2/1/20/845</t>
  </si>
  <si>
    <t>03.12.2020.-20.11.2040.</t>
  </si>
  <si>
    <t>A2/1/20/846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</si>
  <si>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</si>
  <si>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</si>
  <si>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</si>
  <si>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</si>
  <si>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</si>
  <si>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Pamatsummu atmaksa pēc grafika</t>
  </si>
  <si>
    <t>Pamatsummu pieaugums pret iepriekšējo gadu</t>
  </si>
  <si>
    <t>Kopējo saistību pieaugums pret iepriekšējo gadu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</si>
  <si>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</si>
  <si>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</si>
  <si>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</si>
  <si>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</si>
  <si>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</si>
  <si>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</si>
  <si>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</si>
  <si>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</si>
  <si>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</si>
  <si>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Galvojumu saistības kopā</t>
  </si>
  <si>
    <t>Pirmstermiņa atmaksas uz xx.xx.2020.</t>
  </si>
  <si>
    <t>Plāns 2021.gadam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</si>
  <si>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</si>
  <si>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</si>
  <si>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</si>
  <si>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</si>
  <si>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</si>
  <si>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</si>
  <si>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</si>
  <si>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Naudas līdzekļu atlikums uz 31.12.2020.</t>
  </si>
  <si>
    <t>03.207.</t>
  </si>
  <si>
    <t>ERAF projekts "Jelgavas pašvaldības operatīvās informācijas centra ēkas Sarmas ielā 4 energoefektivitātes paaugstināšana"</t>
  </si>
  <si>
    <t>Sabiedriskā transporta pakalpojumu nodrošināšana Jelgavas pilsētas administratīvajā teritorijā</t>
  </si>
  <si>
    <t>Interreg V-A Latvijas - Lietuvas pārrobežu sadarbības programmas projekts "Pilsētas iedzīvotāju kartes pieejamo pakalpojumu pilnveidošana Jelgavā un Šauļos"</t>
  </si>
  <si>
    <t>Latvijas - Lietuvas pārrobežu sadarbības programmas projekts "Kopīga pārrobežu tūrisma piedāvājuma "Saules ceļš" izveide"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</si>
  <si>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</si>
  <si>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</si>
  <si>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</si>
  <si>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</si>
  <si>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</si>
  <si>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Interreg V-A Latvijas - Lietuvas pārrobežu sadarbības programmas projekts "Vides risku pārvaldības resursu pilnveidošana pierobežas reģionā, lai efektīvi veiktu vides aizsardzības pasākumus"</t>
  </si>
  <si>
    <t>Interreg V - A Latvijas - Lietuvas pārrobežu sadarbības programmas projekts "Tehniskās bāzes un operatīvo dienestu speciālistu fiziskās kapacitātes uzlabošana Latvijas un Lietuvas pierobežas reģionā"</t>
  </si>
  <si>
    <t>09.519.04.</t>
  </si>
  <si>
    <t>Latvijas - Lietuvas pārrobežu sadarbības programmas projekts "Sociālajam riskam pakļauto bērnu un jauniešu integrācija Jelgavas un Šauļu pilsētas pašvaldībās"</t>
  </si>
  <si>
    <t>09.822.</t>
  </si>
  <si>
    <t>Projekts "Brīvs, prātīgs, atbildīgs"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</si>
  <si>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</si>
  <si>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</si>
  <si>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</si>
  <si>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Kods</t>
  </si>
  <si>
    <t>2036-2051</t>
  </si>
  <si>
    <t>Projekts "Jelgavas 1.internātpamatskolas rekonstrukcijas darbi"</t>
  </si>
  <si>
    <t>Projekts "Jelgavas pilsētas PPII Skautu ielā 1 rekonstrukcijas darbi"</t>
  </si>
  <si>
    <t>Projekts "Siltumnīcefektu gāzu emisiju samazināšana" (Pilsētsaimniecība)</t>
  </si>
  <si>
    <t>Projekts "Jelgavas izglītības pārvaldes ēkas jumta rekonstrukcija"</t>
  </si>
  <si>
    <t>Projekts "Energoefektīvu risinājumu piemērošana ilgtspējīgām ēkām Jelgavā - sporta halle"</t>
  </si>
  <si>
    <t>Prioritārais projekts "Jelgavas kultūras nama iekšējo komunikāciju atjaunošana"</t>
  </si>
  <si>
    <t>Projekts "Atmodas ielas posma no Dobeles šosejas līdz Dambja ielai asfalta seguma atjaunošana"</t>
  </si>
  <si>
    <t>Izglītības iestāžu investīciju projekts "Jelgavas pilsētas PPII "Zemenīte" telpu pārbūve"</t>
  </si>
  <si>
    <t xml:space="preserve">Izglītības iestāžu investīciju projekts  "Jelgavas 1.internātpamatskolas jumta konstrukciju nomaiņa" </t>
  </si>
  <si>
    <t>SIA "Jelgavas ūdens" pamatkapitāla palielināšana projekta "Ūdenssaimniecības pakalpojumu attīstība Jelgavā, V kārta" īstenošanai</t>
  </si>
  <si>
    <t>Izglītības iestāžu investīciju projekts "Jelgavas pilsētas PPII "Rotaļa" ēkas rekonstrukcija"</t>
  </si>
  <si>
    <t>Projekts "Asfaltbetona seguma atjaunošana, lietus ūdens kanalizācijas un ūdensvada tīklu nomaiņa Akadēmijas ielas posmā no Raiņa līdz Lielai ielai"</t>
  </si>
  <si>
    <t>Projekts "Muzeja jumta skārda seguma nomaiņa un bēniņu pārseguma siltināšana"</t>
  </si>
  <si>
    <t>Projekts "Jelgavas Valsts ģimnāzijas pārbūves papilddarbi"</t>
  </si>
  <si>
    <t>Latvijas -  Lietuvas pārrobežu sadarbības programmas projekts "Civilās aizsardzības sistēmas pilnveidošana Jelgavas un Šauļu pilsētās (C-System)</t>
  </si>
  <si>
    <t>ERAF projekts “Jelgavas pilsētas pašvaldības policijas ēkas energoefektivitātes paaugstināšana”</t>
  </si>
  <si>
    <t xml:space="preserve">Kopā pamatsummu maksājumi         </t>
  </si>
  <si>
    <t>Aizņēmumu līgumsumma kopā</t>
  </si>
  <si>
    <t>Pašu ieņēmumi saistību īpatsvara aprēķinam</t>
  </si>
  <si>
    <t>Pamatsummu atmaksa 2021.g. pēc grafika</t>
  </si>
  <si>
    <t>Galvojumu līgumsumma kopā</t>
  </si>
  <si>
    <t>SAISTĪBAS KOPĀ</t>
  </si>
  <si>
    <t>A2/1/21/121</t>
  </si>
  <si>
    <t>08.04.2021.-20.03.2051.</t>
  </si>
  <si>
    <t>04.744.</t>
  </si>
  <si>
    <t>04.745.</t>
  </si>
  <si>
    <t>"Apvārsnis 2020" programmas projekt "Wellbased"</t>
  </si>
  <si>
    <t>Mājokļu attīstība</t>
  </si>
  <si>
    <t>06.100.</t>
  </si>
  <si>
    <t>06.101.</t>
  </si>
  <si>
    <t>Projekts "Pašvaldības īres dzīvokļu izveidošana Stacijas ielā 13, Jelgavā"</t>
  </si>
  <si>
    <t>Interešu izglītības projektu īstenošana</t>
  </si>
  <si>
    <t>03.207. ERAF projekts 'Jelgavas pašvaldības operatīvās informācijas centra ēkas Sarmas ielā 4 energoefektivitātes paaugstināšana'</t>
  </si>
  <si>
    <t>04.738. Latvijas - Lietuvas pārrobežu sadarbības programmas projekts 'Kopīga pārrobežu tūrisma piedāvājuma 'Saules ceļš' izveide'</t>
  </si>
  <si>
    <t>04.739. ERAF projekts 'Kultūras mantojuma saglabāšana un attīstība Jelgavas pilsētā'</t>
  </si>
  <si>
    <t>04.744. ERAF projekts 'Pilssalas ielas degradētās teritorijas sakārtošana'</t>
  </si>
  <si>
    <t>06.101. Projekts 'Pašvaldības īres dzīvokļu izveidošana Stacijas ielā 13, Jelgavā'</t>
  </si>
  <si>
    <t>09.519.04. Latvijas - Lietuvas pārrobežu sadarbības programmas projekts 'Sociālajam riskam pakļauto bērnu un jauniešu integrācija Jelgavas un Šauļu pilsētas pašvaldībās'</t>
  </si>
  <si>
    <t>09.822. Projekts 'Brīvs, prātīgs, atbildīgs'</t>
  </si>
  <si>
    <t>10.712. ERAF projekts 'Daudzfunkcionālā sociālo pakalpojumu centra ēkas Zirgu ielā 47a, Jelgavā, energoefektivitātes paaugstināšana'</t>
  </si>
  <si>
    <t>04.745. 'Apvārsnis 2020' programmas projekts 'Wellbased'</t>
  </si>
  <si>
    <t>09.101. Jelgavas pirmsskolas izglītības iestāžu darbības nodrošināšana</t>
  </si>
  <si>
    <t>09.219.1. Jelgavas vispārizglītojošo skolu darbības nodrošināšana</t>
  </si>
  <si>
    <t>09.219.2. Jelgavas speciālo skolu un speciālās pirmsskolas izglītības programmas darbības nodrošināšana</t>
  </si>
  <si>
    <t>09.511. Pārējie interešu izglītības pasākumi, t.sk. Jaunrades nama 'Junda' darbības nodrošināšana</t>
  </si>
  <si>
    <t>2021.gada plāns</t>
  </si>
  <si>
    <t>09.518. Interešu izglītības projektu īstenošana</t>
  </si>
  <si>
    <t>Nodibinājums "J.Bisenieka fonds"</t>
  </si>
  <si>
    <t>08.108.</t>
  </si>
  <si>
    <t>Nacionālās sporta bāzes SIA "Zemgales olimpiskais centrs"-uzturēšanas izdevumu segšana</t>
  </si>
  <si>
    <t>Pašvaldības teritorijas, kapsētu un mežu apsaimniekošana</t>
  </si>
  <si>
    <t>06.602. Pašvaldības teritorijas, mežu un kapsētu apsaimniekošana</t>
  </si>
  <si>
    <t>A2/1/21/260</t>
  </si>
  <si>
    <t>A2/1/21/261</t>
  </si>
  <si>
    <t>01.06.2021.- 20.05.2041.</t>
  </si>
  <si>
    <t>01.06.2021.- 20.03.2051.</t>
  </si>
  <si>
    <t>JELGAVAS VALSTSPILSĒTAS PAŠVALDĪBAS 2021.GADA BUDŽETS</t>
  </si>
  <si>
    <t>01.116.</t>
  </si>
  <si>
    <t>Projekts "Ēkas Pasta ielā 32, Jelgavā, pārbūve par dzimtsarakstu nodaļu"</t>
  </si>
  <si>
    <t>PI "Jelgavas pašvaldības policija" darbības nodrošināšana</t>
  </si>
  <si>
    <t>PI "Jelgavas pašvaldības operatīvās informācijas centrs" darbības nodrošināšana</t>
  </si>
  <si>
    <t>PI "Jelgavas bibliotēka" darbības nodrošināšana</t>
  </si>
  <si>
    <t>PI "Jelgavas bāriņtiesa" darbības nodrošināšana</t>
  </si>
  <si>
    <t>28.07.2021. -20.06.2051.</t>
  </si>
  <si>
    <t>A2/1/21/423</t>
  </si>
  <si>
    <t>28.07.2021. -22.07.2041.</t>
  </si>
  <si>
    <t>A2/1/21/424</t>
  </si>
  <si>
    <t>Projekts "Jelgavas pilsētas pašvaldības pirmsskolas izglītības iestādes "Pasaciņa" virtuves telpu atjaunošana"</t>
  </si>
  <si>
    <t>projekts</t>
  </si>
  <si>
    <t>KF projekts "Videi draudzīgas sabiedriskā transporta inrastruktūras attīstība Jelgavā""</t>
  </si>
  <si>
    <t xml:space="preserve">ERAF projekts Jelgavas pilsētas pašvaldības izglītības iestādes  “Jelgavas Tehnoloģiju vidusskola” energoefektivitātes paaugstināšana” </t>
  </si>
  <si>
    <t>ERAF projekts “Jelgavas pašvaldības operatīvās informācijas centra ēkas Sarmas ielā 4 energoefektivitātes paaugstināšana”</t>
  </si>
  <si>
    <t>ERAF projekts "Tehniskās infrastruktūras sakārtošana uzņēmējdarbības attīstībai degradētajā teritorijā, 3.kārta”</t>
  </si>
  <si>
    <t>Projekts "Īres dzīvokļu izveidošana Stacijas ielā 13, Jelgavā" (COVID)</t>
  </si>
  <si>
    <t>x</t>
  </si>
  <si>
    <t>PAVISAM KOPĀ:</t>
  </si>
  <si>
    <t>GALVOJUMI:</t>
  </si>
  <si>
    <t>01. JELGAVAS VALSTSPILSĒTAS PAŠVALDĪBAS ADMINISTRĀCIJA</t>
  </si>
  <si>
    <t>08. JELGAVAS VALSTSPILSĒTAS PAŠVALDĪBAS IESTĀDE 'SPORTA SERVISA CENTRS'</t>
  </si>
  <si>
    <t>10. JELGAVAS VALSTSPILSĒTAS PAŠVALDĪBAS IESTĀDE 'Ģ.ELIASA JELGAVAS VĒSTURES UN MĀKSLAS MUZEJS'</t>
  </si>
  <si>
    <t>11. JELGAVAS VALSTSPILSĒTAS PAŠVALDĪBAS IESTĀDE 'KULTŪRA'</t>
  </si>
  <si>
    <t>14. JELGAVAS VALSTSPILSĒTAS PAŠVALDĪBAS IESTĀDE 'JELGAVAS IZGLĪTĪBAS PĀRVALDE'</t>
  </si>
  <si>
    <t>16. JELGAVAS VALSTSPILSĒTAS PAŠVALDĪBAS IESTĀDE 'JELGAVAS SOCIĀLO LIETU PĀRVALDE'</t>
  </si>
  <si>
    <t xml:space="preserve">         JELGAVAS VALSTSPILSĒTAS PAŠVALDĪBAS ILGTERMIŅA SAISTĪBAS</t>
  </si>
  <si>
    <t>01.116. Projekts - 'Ēkas Pasta ielā 32, Jelgavā, pārbūve par dzimtsarakstu nodaļu'</t>
  </si>
  <si>
    <t>02. JELGAVAS VALSTSPILSĒTAS DOMES FINANŠU NODAĻA</t>
  </si>
  <si>
    <t>04.515. Sabiedriskā transporta pakalpojumu nodrošināšana Jelgavas pilsētas administratīvajā teritorijā</t>
  </si>
  <si>
    <t>05.303. Finansējums pašvaldības kapitālsabiedrībām vides aizsardzības pasākumu īstenošanai</t>
  </si>
  <si>
    <t>08.108. Nacionālās sporta bāzes SIA 'Zemgales olimpiskais centrs' uzturēšanas izdevumu segšana</t>
  </si>
  <si>
    <t>03. JELGAVAS VALSTSPILSĒTAS PAŠVALDĪBAS IESTĀDE 'PAŠVALDĪBAS IESTĀŽU CENTRALIZĒTĀ GRĀMATVEDĪBA'</t>
  </si>
  <si>
    <t>04. JELGAVAS VALSTSPILSĒTAS PAŠVALDĪBAS IESTĀDE 'JELGAVAS PAŠVALDĪBAS POLICIJA'</t>
  </si>
  <si>
    <t>03.111. PI 'Jelgavas pašvaldības policija' darbības nodrošināšana</t>
  </si>
  <si>
    <t>05. JELGAVAS VALSTSPILSĒTAS PAŠVALDĪBAS IESTĀDE 'JELGAVAS PAŠVALDĪBAS OPERATĪVĀS INFORMĀCIJAS CENTRS'</t>
  </si>
  <si>
    <t>03.202. PI 'Jelgavas pašvaldības operatīvās informācijas centrs' darbības nodrošināšana</t>
  </si>
  <si>
    <t>05.604. Projekts 'Jelgavas decenralizētās kanalizācijas sistēmas izveide'</t>
  </si>
  <si>
    <t>06. JELGAVAS VALSTSPILSĒTAS PAŠVALDĪBAS IESTĀDE 'JELGAVAS REĢIONĀLAIS TŪRISMA CENTRS'</t>
  </si>
  <si>
    <t>07. JELGAVAS VALSTSPILSĒTAS PAŠVALDĪBAS IESTĀDE 'PILSĒTSAIMNIECĪBA'</t>
  </si>
  <si>
    <t>06.403. Emisijas kvotu izsolīšanas instrumenta projekts - 'Situmnīcefekta gāzu emisiju samazināšana ar viedajām pilsētvides tehnoloģijām Jelgavā'</t>
  </si>
  <si>
    <t>09. JELGAVAS VALSTSPILSĒTAS PAŠVALDĪBAS IESTĀDE 'JELGAVAS BIBLIOTĒKA'</t>
  </si>
  <si>
    <t>08.211. PI 'Jelgavas bibliotēka' darbības nodrošināšana</t>
  </si>
  <si>
    <t>13. JELGAVAS VALSTSPILSĒTAS PAŠVALDĪBAS IESTĀDE 'ZEMGALES REĢIONA KOMPETENČU ATTĪSTĪBAS CENTRS'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</si>
  <si>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</si>
  <si>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</si>
  <si>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</si>
  <si>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15. JELGAVAS VALSTSPILSĒTAS PAŠVALDIBAS IESTĀDE 'JELGAVAS BĀRIŅTIESA'</t>
  </si>
  <si>
    <t>10.403. PI 'Jelgavas bāriņtiesa' darbības nodrošināšana</t>
  </si>
  <si>
    <t>A2/1/21/496</t>
  </si>
  <si>
    <t>26.08.2021. - 20.08.2041.</t>
  </si>
  <si>
    <t>A2/1/21/497</t>
  </si>
  <si>
    <t>A2/1/21/498</t>
  </si>
  <si>
    <t>A2/1/21/499</t>
  </si>
  <si>
    <t>26.08.2021. - 20.06.2051.</t>
  </si>
  <si>
    <t>A2/1/21/513</t>
  </si>
  <si>
    <t>A2/1/21/558</t>
  </si>
  <si>
    <t>47*</t>
  </si>
  <si>
    <t>Projekts "Tilta izbūve pār Platones upi Bauskas ielā, Jelgavā" (COVID)</t>
  </si>
  <si>
    <t>21.411.</t>
  </si>
  <si>
    <t>Citi ieņēmumi no palīgražošanas</t>
  </si>
  <si>
    <t>04.510.531.</t>
  </si>
  <si>
    <t>Projekts "Tilta izbūve pār Platones upi Bauskas ielā, Jelgavā"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</si>
  <si>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</si>
  <si>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</si>
  <si>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9000. Kapitālo izdevumu transferti</t>
  </si>
  <si>
    <t>04.510.531. Projekts 'Tilta izbūve pār Platones upi Bauskas ielā, Jelgavā'</t>
  </si>
  <si>
    <t>JELGAVAS PILSĒTAS PAŠVALDĪBAS 2021.GADA PAMATBUDŽETS ATŠIFRĒJUMĀ PA PROGRAMMĀM UN EKONOMISKĀS KLASIFIKĀCIJAS KODIEM</t>
  </si>
  <si>
    <t>Precizētais plāns uz 22.12.2021.</t>
  </si>
  <si>
    <t>A2/1/21/648</t>
  </si>
  <si>
    <t>A2/1/21/649</t>
  </si>
  <si>
    <t>27.10.2021.-21.10.2041.</t>
  </si>
  <si>
    <t>27.08.2021-20.08.2041.</t>
  </si>
  <si>
    <t>29.09.2021- 22.09.2031.</t>
  </si>
  <si>
    <t>Būvprojekta "Industriālā parka ielu infrastruktūras izveide Jelgavā" izstrāde (COVID)</t>
  </si>
  <si>
    <t>Priekšfinansējuma atmaksas uz 22.12.2021.</t>
  </si>
  <si>
    <t>Plānotās priekšfinansējuma atmaksas uz 22.12.2021.</t>
  </si>
  <si>
    <t>Prioritārais investīciju projekts "Jaunrades nama "JUNDA", struktūrvienības "LEDIŅI" pārbūve un labiekārtošana 1.kārta"</t>
  </si>
  <si>
    <t>Projekts "Jaunrades nama "JUNDA", struktūrvienības "LEDIŅI" pārbūve un labiekārtošana 2.kārta" (COVID)</t>
  </si>
  <si>
    <t>21.381.</t>
  </si>
  <si>
    <t>ESF projekts "Veselības veicināšana Jelgavā"</t>
  </si>
  <si>
    <t>Būvprojektu“Miera ielas un esošā Miera ielas, Aizsargu ielas un Bauskas ielas rotācijas apļa pārbūve, Jelgavā”, “Aizsargu ielas pārbūve, Jelgavā” un “Bauskas ielas pārbūve, Jelgavā” izstrāde (COVID)</t>
  </si>
  <si>
    <t>26.11.2021.-20.11.2026.</t>
  </si>
  <si>
    <t>26.11.2021-20.09.2046.</t>
  </si>
  <si>
    <t>A2/1/21/716</t>
  </si>
  <si>
    <t>A2/1/21/717</t>
  </si>
  <si>
    <t>Precizētais plāns 
uz 22.12.2021.</t>
  </si>
  <si>
    <t>SAISTOŠAJIEM NOTEIKUMIEM Nr.21-26</t>
  </si>
  <si>
    <t>22.12.2021.prot. Nr.21/1</t>
  </si>
  <si>
    <t>22.12.2021.prot.Nr.21/1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</si>
</sst>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0DA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2" tint="-0.09994000196456909"/>
      </left>
      <right style="thin">
        <color theme="2" tint="-0.09994000196456909"/>
      </right>
      <top style="thin"/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1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 indent="2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 indent="2"/>
    </xf>
    <xf numFmtId="3" fontId="9" fillId="34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9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0" fontId="9" fillId="0" borderId="0" xfId="58" applyFont="1" applyAlignment="1">
      <alignment vertical="center"/>
      <protection/>
    </xf>
    <xf numFmtId="0" fontId="17" fillId="0" borderId="0" xfId="58" applyFont="1">
      <alignment/>
      <protection/>
    </xf>
    <xf numFmtId="0" fontId="9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18" fillId="0" borderId="0" xfId="58" applyFont="1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17" fillId="0" borderId="0" xfId="59" applyFont="1" applyFill="1">
      <alignment/>
      <protection/>
    </xf>
    <xf numFmtId="0" fontId="18" fillId="0" borderId="0" xfId="59" applyFont="1" applyAlignment="1">
      <alignment/>
      <protection/>
    </xf>
    <xf numFmtId="0" fontId="6" fillId="0" borderId="0" xfId="59" applyFont="1" applyBorder="1" applyAlignment="1">
      <alignment wrapText="1"/>
      <protection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Alignment="1">
      <alignment/>
    </xf>
    <xf numFmtId="0" fontId="66" fillId="0" borderId="0" xfId="0" applyFont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left" wrapText="1" indent="2"/>
    </xf>
    <xf numFmtId="3" fontId="8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9" fillId="7" borderId="10" xfId="0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9" fillId="7" borderId="10" xfId="0" applyNumberFormat="1" applyFont="1" applyFill="1" applyBorder="1" applyAlignment="1">
      <alignment horizontal="center" vertical="center"/>
    </xf>
    <xf numFmtId="0" fontId="17" fillId="0" borderId="0" xfId="59" applyFont="1">
      <alignment/>
      <protection/>
    </xf>
    <xf numFmtId="0" fontId="17" fillId="0" borderId="0" xfId="59" applyFont="1" applyAlignment="1">
      <alignment vertical="center"/>
      <protection/>
    </xf>
    <xf numFmtId="0" fontId="17" fillId="34" borderId="0" xfId="59" applyFont="1" applyFill="1">
      <alignment/>
      <protection/>
    </xf>
    <xf numFmtId="0" fontId="9" fillId="0" borderId="0" xfId="59" applyFont="1" applyFill="1" applyBorder="1" applyAlignment="1">
      <alignment/>
      <protection/>
    </xf>
    <xf numFmtId="0" fontId="9" fillId="36" borderId="10" xfId="59" applyFont="1" applyFill="1" applyBorder="1" applyAlignment="1">
      <alignment/>
      <protection/>
    </xf>
    <xf numFmtId="3" fontId="5" fillId="36" borderId="10" xfId="59" applyNumberFormat="1" applyFont="1" applyFill="1" applyBorder="1" applyAlignment="1">
      <alignment horizontal="center" vertical="center"/>
      <protection/>
    </xf>
    <xf numFmtId="0" fontId="9" fillId="36" borderId="13" xfId="59" applyFont="1" applyFill="1" applyBorder="1" applyAlignment="1">
      <alignment horizontal="left"/>
      <protection/>
    </xf>
    <xf numFmtId="3" fontId="5" fillId="36" borderId="13" xfId="59" applyNumberFormat="1" applyFont="1" applyFill="1" applyBorder="1" applyAlignment="1">
      <alignment horizontal="center" vertical="center"/>
      <protection/>
    </xf>
    <xf numFmtId="0" fontId="5" fillId="13" borderId="14" xfId="59" applyFont="1" applyFill="1" applyBorder="1" applyAlignment="1">
      <alignment horizontal="left"/>
      <protection/>
    </xf>
    <xf numFmtId="3" fontId="5" fillId="13" borderId="14" xfId="59" applyNumberFormat="1" applyFont="1" applyFill="1" applyBorder="1" applyAlignment="1">
      <alignment horizontal="right" vertical="center"/>
      <protection/>
    </xf>
    <xf numFmtId="0" fontId="5" fillId="36" borderId="15" xfId="59" applyFont="1" applyFill="1" applyBorder="1" applyAlignment="1">
      <alignment horizontal="center" vertical="center"/>
      <protection/>
    </xf>
    <xf numFmtId="0" fontId="9" fillId="37" borderId="10" xfId="59" applyFont="1" applyFill="1" applyBorder="1" applyAlignment="1">
      <alignment/>
      <protection/>
    </xf>
    <xf numFmtId="0" fontId="5" fillId="36" borderId="10" xfId="59" applyFont="1" applyFill="1" applyBorder="1" applyAlignment="1">
      <alignment horizontal="center" vertical="center"/>
      <protection/>
    </xf>
    <xf numFmtId="10" fontId="9" fillId="37" borderId="10" xfId="70" applyNumberFormat="1" applyFont="1" applyFill="1" applyBorder="1" applyAlignment="1">
      <alignment horizontal="center" vertical="center"/>
    </xf>
    <xf numFmtId="3" fontId="70" fillId="0" borderId="0" xfId="59" applyNumberFormat="1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10" fontId="5" fillId="0" borderId="0" xfId="70" applyNumberFormat="1" applyFont="1" applyFill="1" applyBorder="1" applyAlignment="1">
      <alignment horizontal="center" vertical="center"/>
    </xf>
    <xf numFmtId="10" fontId="5" fillId="0" borderId="0" xfId="70" applyNumberFormat="1" applyFont="1" applyFill="1" applyBorder="1" applyAlignment="1">
      <alignment horizontal="center"/>
    </xf>
    <xf numFmtId="10" fontId="9" fillId="0" borderId="0" xfId="70" applyNumberFormat="1" applyFont="1" applyFill="1" applyBorder="1" applyAlignment="1">
      <alignment horizontal="center"/>
    </xf>
    <xf numFmtId="0" fontId="8" fillId="0" borderId="0" xfId="59" applyFont="1" applyFill="1" applyAlignment="1">
      <alignment/>
      <protection/>
    </xf>
    <xf numFmtId="4" fontId="9" fillId="0" borderId="0" xfId="59" applyNumberFormat="1" applyFont="1" applyBorder="1" applyAlignment="1">
      <alignment vertical="center"/>
      <protection/>
    </xf>
    <xf numFmtId="4" fontId="9" fillId="0" borderId="0" xfId="59" applyNumberFormat="1" applyFont="1" applyBorder="1">
      <alignment/>
      <protection/>
    </xf>
    <xf numFmtId="4" fontId="17" fillId="0" borderId="0" xfId="59" applyNumberFormat="1" applyFont="1">
      <alignment/>
      <protection/>
    </xf>
    <xf numFmtId="0" fontId="8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vertical="top"/>
      <protection/>
    </xf>
    <xf numFmtId="4" fontId="17" fillId="0" borderId="0" xfId="59" applyNumberFormat="1" applyFont="1" applyAlignment="1">
      <alignment vertical="center"/>
      <protection/>
    </xf>
    <xf numFmtId="171" fontId="9" fillId="0" borderId="0" xfId="59" applyNumberFormat="1" applyFont="1">
      <alignment/>
      <protection/>
    </xf>
    <xf numFmtId="4" fontId="5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>
      <alignment/>
      <protection/>
    </xf>
    <xf numFmtId="4" fontId="5" fillId="0" borderId="10" xfId="59" applyNumberFormat="1" applyFont="1" applyBorder="1">
      <alignment/>
      <protection/>
    </xf>
    <xf numFmtId="4" fontId="5" fillId="0" borderId="16" xfId="59" applyNumberFormat="1" applyFont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0" xfId="59" applyFont="1" applyAlignment="1">
      <alignment/>
      <protection/>
    </xf>
    <xf numFmtId="174" fontId="17" fillId="0" borderId="0" xfId="59" applyNumberFormat="1" applyFont="1" applyAlignment="1">
      <alignment vertical="center"/>
      <protection/>
    </xf>
    <xf numFmtId="174" fontId="17" fillId="0" borderId="0" xfId="59" applyNumberFormat="1" applyFont="1">
      <alignment/>
      <protection/>
    </xf>
    <xf numFmtId="0" fontId="9" fillId="0" borderId="17" xfId="59" applyFont="1" applyFill="1" applyBorder="1" applyAlignment="1">
      <alignment horizont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10" fontId="9" fillId="0" borderId="17" xfId="59" applyNumberFormat="1" applyFont="1" applyFill="1" applyBorder="1" applyAlignment="1">
      <alignment horizontal="center"/>
      <protection/>
    </xf>
    <xf numFmtId="3" fontId="9" fillId="0" borderId="17" xfId="59" applyNumberFormat="1" applyFont="1" applyFill="1" applyBorder="1" applyAlignment="1">
      <alignment vertical="center"/>
      <protection/>
    </xf>
    <xf numFmtId="0" fontId="9" fillId="0" borderId="18" xfId="59" applyFont="1" applyFill="1" applyBorder="1" applyAlignment="1">
      <alignment horizont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173" fontId="9" fillId="0" borderId="18" xfId="59" applyNumberFormat="1" applyFont="1" applyFill="1" applyBorder="1" applyAlignment="1">
      <alignment horizontal="center"/>
      <protection/>
    </xf>
    <xf numFmtId="3" fontId="9" fillId="0" borderId="18" xfId="59" applyNumberFormat="1" applyFont="1" applyFill="1" applyBorder="1" applyAlignment="1">
      <alignment vertical="center"/>
      <protection/>
    </xf>
    <xf numFmtId="0" fontId="9" fillId="36" borderId="13" xfId="59" applyFont="1" applyFill="1" applyBorder="1" applyAlignment="1">
      <alignment horizontal="center"/>
      <protection/>
    </xf>
    <xf numFmtId="0" fontId="9" fillId="13" borderId="15" xfId="59" applyFont="1" applyFill="1" applyBorder="1" applyAlignment="1">
      <alignment/>
      <protection/>
    </xf>
    <xf numFmtId="4" fontId="5" fillId="13" borderId="15" xfId="59" applyNumberFormat="1" applyFont="1" applyFill="1" applyBorder="1" applyAlignment="1">
      <alignment horizontal="center" vertical="center"/>
      <protection/>
    </xf>
    <xf numFmtId="3" fontId="5" fillId="13" borderId="15" xfId="59" applyNumberFormat="1" applyFont="1" applyFill="1" applyBorder="1" applyAlignment="1">
      <alignment horizontal="center" vertical="center"/>
      <protection/>
    </xf>
    <xf numFmtId="3" fontId="5" fillId="36" borderId="10" xfId="59" applyNumberFormat="1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4" fontId="5" fillId="0" borderId="0" xfId="59" applyNumberFormat="1" applyFont="1" applyFill="1" applyBorder="1" applyAlignment="1">
      <alignment horizontal="center" vertical="center"/>
      <protection/>
    </xf>
    <xf numFmtId="174" fontId="5" fillId="0" borderId="0" xfId="59" applyNumberFormat="1" applyFont="1" applyFill="1" applyBorder="1" applyAlignment="1">
      <alignment horizontal="left"/>
      <protection/>
    </xf>
    <xf numFmtId="3" fontId="5" fillId="37" borderId="10" xfId="59" applyNumberFormat="1" applyFont="1" applyFill="1" applyBorder="1" applyAlignment="1">
      <alignment horizontal="center"/>
      <protection/>
    </xf>
    <xf numFmtId="0" fontId="5" fillId="0" borderId="0" xfId="59" applyFont="1" applyAlignment="1">
      <alignment vertical="center"/>
      <protection/>
    </xf>
    <xf numFmtId="0" fontId="9" fillId="0" borderId="0" xfId="59" applyFont="1" applyFill="1" applyBorder="1">
      <alignment/>
      <protection/>
    </xf>
    <xf numFmtId="0" fontId="5" fillId="36" borderId="10" xfId="59" applyFont="1" applyFill="1" applyBorder="1" applyAlignment="1">
      <alignment horizontal="center"/>
      <protection/>
    </xf>
    <xf numFmtId="10" fontId="5" fillId="37" borderId="10" xfId="71" applyNumberFormat="1" applyFont="1" applyFill="1" applyBorder="1" applyAlignment="1">
      <alignment horizontal="center" vertical="center"/>
    </xf>
    <xf numFmtId="0" fontId="9" fillId="0" borderId="0" xfId="59" applyFont="1" applyBorder="1" applyAlignment="1">
      <alignment wrapText="1"/>
      <protection/>
    </xf>
    <xf numFmtId="4" fontId="9" fillId="0" borderId="0" xfId="59" applyNumberFormat="1" applyFont="1">
      <alignment/>
      <protection/>
    </xf>
    <xf numFmtId="0" fontId="21" fillId="0" borderId="0" xfId="59" applyFont="1">
      <alignment/>
      <protection/>
    </xf>
    <xf numFmtId="0" fontId="21" fillId="0" borderId="0" xfId="59" applyFont="1" applyFill="1">
      <alignment/>
      <protection/>
    </xf>
    <xf numFmtId="0" fontId="21" fillId="0" borderId="0" xfId="59" applyFont="1" applyAlignment="1">
      <alignment vertical="center"/>
      <protection/>
    </xf>
    <xf numFmtId="0" fontId="21" fillId="0" borderId="0" xfId="59" applyFont="1" applyFill="1" applyBorder="1" applyAlignment="1">
      <alignment vertical="center"/>
      <protection/>
    </xf>
    <xf numFmtId="0" fontId="21" fillId="0" borderId="0" xfId="59" applyFont="1" applyFill="1" applyBorder="1">
      <alignment/>
      <protection/>
    </xf>
    <xf numFmtId="4" fontId="21" fillId="0" borderId="0" xfId="59" applyNumberFormat="1" applyFont="1">
      <alignment/>
      <protection/>
    </xf>
    <xf numFmtId="0" fontId="17" fillId="0" borderId="0" xfId="59" applyFont="1" applyFill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6" fillId="0" borderId="0" xfId="59" applyFont="1" applyAlignment="1">
      <alignment horizontal="right"/>
      <protection/>
    </xf>
    <xf numFmtId="0" fontId="9" fillId="0" borderId="0" xfId="65" applyFont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3" fontId="9" fillId="0" borderId="0" xfId="59" applyNumberFormat="1" applyFont="1">
      <alignment/>
      <protection/>
    </xf>
    <xf numFmtId="3" fontId="9" fillId="0" borderId="0" xfId="59" applyNumberFormat="1" applyFont="1" applyAlignment="1">
      <alignment vertical="center"/>
      <protection/>
    </xf>
    <xf numFmtId="14" fontId="9" fillId="0" borderId="0" xfId="65" applyNumberFormat="1" applyFont="1" applyAlignment="1" applyProtection="1">
      <alignment vertical="center"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12" fillId="33" borderId="19" xfId="59" applyFont="1" applyFill="1" applyBorder="1" applyAlignment="1">
      <alignment vertical="center"/>
      <protection/>
    </xf>
    <xf numFmtId="0" fontId="12" fillId="33" borderId="20" xfId="59" applyFont="1" applyFill="1" applyBorder="1" applyAlignment="1">
      <alignment horizontal="center" vertical="center"/>
      <protection/>
    </xf>
    <xf numFmtId="0" fontId="12" fillId="33" borderId="21" xfId="59" applyFont="1" applyFill="1" applyBorder="1" applyAlignment="1">
      <alignment horizontal="center" vertical="center"/>
      <protection/>
    </xf>
    <xf numFmtId="0" fontId="12" fillId="33" borderId="22" xfId="59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10" fontId="19" fillId="0" borderId="19" xfId="63" applyNumberFormat="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center" vertical="center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10" fontId="19" fillId="0" borderId="23" xfId="59" applyNumberFormat="1" applyFont="1" applyFill="1" applyBorder="1" applyAlignment="1">
      <alignment horizontal="center" vertical="center"/>
      <protection/>
    </xf>
    <xf numFmtId="10" fontId="19" fillId="0" borderId="19" xfId="59" applyNumberFormat="1" applyFont="1" applyFill="1" applyBorder="1" applyAlignment="1">
      <alignment horizontal="center"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3" fontId="19" fillId="0" borderId="23" xfId="59" applyNumberFormat="1" applyFont="1" applyFill="1" applyBorder="1" applyAlignment="1">
      <alignment vertical="center"/>
      <protection/>
    </xf>
    <xf numFmtId="173" fontId="19" fillId="0" borderId="23" xfId="59" applyNumberFormat="1" applyFont="1" applyFill="1" applyBorder="1" applyAlignment="1">
      <alignment horizontal="center" vertical="center"/>
      <protection/>
    </xf>
    <xf numFmtId="173" fontId="19" fillId="0" borderId="19" xfId="63" applyNumberFormat="1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wrapText="1"/>
      <protection/>
    </xf>
    <xf numFmtId="10" fontId="19" fillId="0" borderId="19" xfId="59" applyNumberFormat="1" applyFont="1" applyFill="1" applyBorder="1" applyAlignment="1">
      <alignment horizontal="center"/>
      <protection/>
    </xf>
    <xf numFmtId="3" fontId="19" fillId="0" borderId="19" xfId="59" applyNumberFormat="1" applyFont="1" applyFill="1" applyBorder="1">
      <alignment/>
      <protection/>
    </xf>
    <xf numFmtId="0" fontId="19" fillId="0" borderId="23" xfId="59" applyFont="1" applyFill="1" applyBorder="1" applyAlignment="1">
      <alignment horizontal="center" wrapText="1"/>
      <protection/>
    </xf>
    <xf numFmtId="173" fontId="19" fillId="0" borderId="23" xfId="59" applyNumberFormat="1" applyFont="1" applyFill="1" applyBorder="1" applyAlignment="1">
      <alignment horizontal="center"/>
      <protection/>
    </xf>
    <xf numFmtId="3" fontId="19" fillId="0" borderId="23" xfId="59" applyNumberFormat="1" applyFont="1" applyFill="1" applyBorder="1">
      <alignment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5" fillId="9" borderId="10" xfId="0" applyNumberFormat="1" applyFont="1" applyFill="1" applyBorder="1" applyAlignment="1">
      <alignment vertical="center"/>
    </xf>
    <xf numFmtId="0" fontId="9" fillId="0" borderId="0" xfId="60" applyFont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9" fillId="0" borderId="23" xfId="61" applyFont="1" applyFill="1" applyBorder="1" applyAlignment="1">
      <alignment horizontal="center"/>
      <protection/>
    </xf>
    <xf numFmtId="0" fontId="71" fillId="7" borderId="10" xfId="0" applyFont="1" applyFill="1" applyBorder="1" applyAlignment="1">
      <alignment horizontal="right" vertical="center"/>
    </xf>
    <xf numFmtId="0" fontId="71" fillId="7" borderId="10" xfId="0" applyFont="1" applyFill="1" applyBorder="1" applyAlignment="1">
      <alignment horizontal="left" vertical="center" wrapText="1" indent="2"/>
    </xf>
    <xf numFmtId="3" fontId="70" fillId="7" borderId="10" xfId="0" applyNumberFormat="1" applyFont="1" applyFill="1" applyBorder="1" applyAlignment="1">
      <alignment vertical="center"/>
    </xf>
    <xf numFmtId="3" fontId="69" fillId="7" borderId="10" xfId="0" applyNumberFormat="1" applyFont="1" applyFill="1" applyBorder="1" applyAlignment="1">
      <alignment vertical="center"/>
    </xf>
    <xf numFmtId="3" fontId="71" fillId="7" borderId="10" xfId="0" applyNumberFormat="1" applyFont="1" applyFill="1" applyBorder="1" applyAlignment="1">
      <alignment vertical="center"/>
    </xf>
    <xf numFmtId="3" fontId="5" fillId="37" borderId="11" xfId="59" applyNumberFormat="1" applyFont="1" applyFill="1" applyBorder="1" applyAlignment="1">
      <alignment horizontal="center" vertical="center"/>
      <protection/>
    </xf>
    <xf numFmtId="3" fontId="19" fillId="0" borderId="19" xfId="62" applyNumberFormat="1" applyFont="1" applyFill="1" applyBorder="1">
      <alignment/>
      <protection/>
    </xf>
    <xf numFmtId="3" fontId="19" fillId="0" borderId="23" xfId="62" applyNumberFormat="1" applyFont="1" applyFill="1" applyBorder="1">
      <alignment/>
      <protection/>
    </xf>
    <xf numFmtId="3" fontId="19" fillId="0" borderId="19" xfId="58" applyNumberFormat="1" applyFont="1" applyFill="1" applyBorder="1">
      <alignment/>
      <protection/>
    </xf>
    <xf numFmtId="3" fontId="19" fillId="0" borderId="23" xfId="58" applyNumberFormat="1" applyFont="1" applyFill="1" applyBorder="1">
      <alignment/>
      <protection/>
    </xf>
    <xf numFmtId="4" fontId="19" fillId="0" borderId="19" xfId="58" applyNumberFormat="1" applyFont="1" applyFill="1" applyBorder="1">
      <alignment/>
      <protection/>
    </xf>
    <xf numFmtId="3" fontId="19" fillId="0" borderId="23" xfId="44" applyNumberFormat="1" applyFont="1" applyFill="1" applyBorder="1" applyAlignment="1">
      <alignment horizontal="right" vertical="center"/>
    </xf>
    <xf numFmtId="4" fontId="19" fillId="0" borderId="19" xfId="44" applyNumberFormat="1" applyFont="1" applyFill="1" applyBorder="1" applyAlignment="1">
      <alignment horizontal="right" vertical="center"/>
    </xf>
    <xf numFmtId="3" fontId="19" fillId="0" borderId="19" xfId="61" applyNumberFormat="1" applyFont="1" applyFill="1" applyBorder="1">
      <alignment/>
      <protection/>
    </xf>
    <xf numFmtId="4" fontId="19" fillId="0" borderId="19" xfId="61" applyNumberFormat="1" applyFont="1" applyFill="1" applyBorder="1">
      <alignment/>
      <protection/>
    </xf>
    <xf numFmtId="3" fontId="19" fillId="0" borderId="23" xfId="61" applyNumberFormat="1" applyFont="1" applyFill="1" applyBorder="1">
      <alignment/>
      <protection/>
    </xf>
    <xf numFmtId="4" fontId="19" fillId="0" borderId="19" xfId="62" applyNumberFormat="1" applyFont="1" applyFill="1" applyBorder="1">
      <alignment/>
      <protection/>
    </xf>
    <xf numFmtId="3" fontId="12" fillId="7" borderId="20" xfId="59" applyNumberFormat="1" applyFont="1" applyFill="1" applyBorder="1" applyAlignment="1">
      <alignment horizontal="right" vertical="center"/>
      <protection/>
    </xf>
    <xf numFmtId="3" fontId="12" fillId="7" borderId="24" xfId="59" applyNumberFormat="1" applyFont="1" applyFill="1" applyBorder="1" applyAlignment="1">
      <alignment horizontal="right" vertical="center"/>
      <protection/>
    </xf>
    <xf numFmtId="4" fontId="5" fillId="13" borderId="15" xfId="59" applyNumberFormat="1" applyFont="1" applyFill="1" applyBorder="1" applyAlignment="1">
      <alignment horizontal="right" vertical="center"/>
      <protection/>
    </xf>
    <xf numFmtId="4" fontId="9" fillId="36" borderId="10" xfId="70" applyNumberFormat="1" applyFont="1" applyFill="1" applyBorder="1" applyAlignment="1">
      <alignment horizontal="center"/>
    </xf>
    <xf numFmtId="4" fontId="5" fillId="37" borderId="10" xfId="59" applyNumberFormat="1" applyFont="1" applyFill="1" applyBorder="1" applyAlignment="1">
      <alignment horizontal="center" vertical="center"/>
      <protection/>
    </xf>
    <xf numFmtId="0" fontId="5" fillId="37" borderId="15" xfId="59" applyFont="1" applyFill="1" applyBorder="1" applyAlignment="1">
      <alignment/>
      <protection/>
    </xf>
    <xf numFmtId="10" fontId="5" fillId="37" borderId="15" xfId="70" applyNumberFormat="1" applyFont="1" applyFill="1" applyBorder="1" applyAlignment="1">
      <alignment horizontal="center" vertical="center"/>
    </xf>
    <xf numFmtId="0" fontId="18" fillId="0" borderId="0" xfId="59" applyFont="1">
      <alignment/>
      <protection/>
    </xf>
    <xf numFmtId="3" fontId="5" fillId="36" borderId="10" xfId="59" applyNumberFormat="1" applyFont="1" applyFill="1" applyBorder="1" applyAlignment="1">
      <alignment horizontal="right" vertical="center"/>
      <protection/>
    </xf>
    <xf numFmtId="3" fontId="5" fillId="36" borderId="13" xfId="59" applyNumberFormat="1" applyFont="1" applyFill="1" applyBorder="1" applyAlignment="1">
      <alignment horizontal="right" vertical="center"/>
      <protection/>
    </xf>
    <xf numFmtId="10" fontId="5" fillId="36" borderId="15" xfId="70" applyNumberFormat="1" applyFont="1" applyFill="1" applyBorder="1" applyAlignment="1">
      <alignment horizontal="right" vertical="center"/>
    </xf>
    <xf numFmtId="10" fontId="5" fillId="36" borderId="10" xfId="70" applyNumberFormat="1" applyFont="1" applyFill="1" applyBorder="1" applyAlignment="1">
      <alignment horizontal="right" vertical="center"/>
    </xf>
    <xf numFmtId="10" fontId="9" fillId="37" borderId="10" xfId="70" applyNumberFormat="1" applyFont="1" applyFill="1" applyBorder="1" applyAlignment="1">
      <alignment horizontal="right" vertical="center"/>
    </xf>
    <xf numFmtId="3" fontId="12" fillId="7" borderId="20" xfId="59" applyNumberFormat="1" applyFont="1" applyFill="1" applyBorder="1" applyAlignment="1">
      <alignment vertical="center"/>
      <protection/>
    </xf>
    <xf numFmtId="3" fontId="12" fillId="7" borderId="24" xfId="59" applyNumberFormat="1" applyFont="1" applyFill="1" applyBorder="1" applyAlignment="1">
      <alignment vertical="center"/>
      <protection/>
    </xf>
    <xf numFmtId="10" fontId="19" fillId="0" borderId="19" xfId="62" applyNumberFormat="1" applyFont="1" applyFill="1" applyBorder="1" applyAlignment="1">
      <alignment horizontal="center" vertical="center"/>
      <protection/>
    </xf>
    <xf numFmtId="3" fontId="19" fillId="0" borderId="19" xfId="59" applyNumberFormat="1" applyFont="1" applyFill="1" applyBorder="1" applyAlignment="1">
      <alignment horizontal="right" vertical="center"/>
      <protection/>
    </xf>
    <xf numFmtId="3" fontId="19" fillId="0" borderId="19" xfId="59" applyNumberFormat="1" applyFont="1" applyFill="1" applyBorder="1" applyAlignment="1">
      <alignment horizontal="right"/>
      <protection/>
    </xf>
    <xf numFmtId="3" fontId="19" fillId="0" borderId="23" xfId="59" applyNumberFormat="1" applyFont="1" applyFill="1" applyBorder="1" applyAlignment="1">
      <alignment horizontal="right" vertical="center"/>
      <protection/>
    </xf>
    <xf numFmtId="3" fontId="19" fillId="0" borderId="23" xfId="59" applyNumberFormat="1" applyFont="1" applyFill="1" applyBorder="1" applyAlignment="1">
      <alignment horizontal="right"/>
      <protection/>
    </xf>
    <xf numFmtId="3" fontId="9" fillId="0" borderId="17" xfId="59" applyNumberFormat="1" applyFont="1" applyFill="1" applyBorder="1" applyAlignment="1">
      <alignment horizontal="right" vertical="center"/>
      <protection/>
    </xf>
    <xf numFmtId="3" fontId="9" fillId="0" borderId="17" xfId="59" applyNumberFormat="1" applyFont="1" applyFill="1" applyBorder="1" applyAlignment="1">
      <alignment horizontal="right"/>
      <protection/>
    </xf>
    <xf numFmtId="3" fontId="9" fillId="0" borderId="25" xfId="59" applyNumberFormat="1" applyFont="1" applyFill="1" applyBorder="1" applyAlignment="1">
      <alignment horizontal="right"/>
      <protection/>
    </xf>
    <xf numFmtId="3" fontId="5" fillId="7" borderId="10" xfId="59" applyNumberFormat="1" applyFont="1" applyFill="1" applyBorder="1" applyAlignment="1">
      <alignment horizontal="right" vertical="center"/>
      <protection/>
    </xf>
    <xf numFmtId="3" fontId="9" fillId="0" borderId="18" xfId="59" applyNumberFormat="1" applyFont="1" applyFill="1" applyBorder="1" applyAlignment="1">
      <alignment horizontal="right" vertical="center"/>
      <protection/>
    </xf>
    <xf numFmtId="3" fontId="9" fillId="0" borderId="18" xfId="59" applyNumberFormat="1" applyFont="1" applyFill="1" applyBorder="1" applyAlignment="1">
      <alignment horizontal="right"/>
      <protection/>
    </xf>
    <xf numFmtId="3" fontId="9" fillId="0" borderId="26" xfId="59" applyNumberFormat="1" applyFont="1" applyFill="1" applyBorder="1" applyAlignment="1">
      <alignment horizontal="right"/>
      <protection/>
    </xf>
    <xf numFmtId="3" fontId="5" fillId="13" borderId="15" xfId="59" applyNumberFormat="1" applyFont="1" applyFill="1" applyBorder="1" applyAlignment="1">
      <alignment horizontal="right" vertical="center"/>
      <protection/>
    </xf>
    <xf numFmtId="10" fontId="9" fillId="36" borderId="10" xfId="70" applyNumberFormat="1" applyFont="1" applyFill="1" applyBorder="1" applyAlignment="1">
      <alignment horizontal="right"/>
    </xf>
    <xf numFmtId="10" fontId="5" fillId="37" borderId="10" xfId="71" applyNumberFormat="1" applyFont="1" applyFill="1" applyBorder="1" applyAlignment="1">
      <alignment horizontal="right" vertical="center"/>
    </xf>
    <xf numFmtId="0" fontId="5" fillId="13" borderId="15" xfId="59" applyFont="1" applyFill="1" applyBorder="1" applyAlignment="1">
      <alignment horizontal="center"/>
      <protection/>
    </xf>
    <xf numFmtId="4" fontId="9" fillId="0" borderId="10" xfId="59" applyNumberFormat="1" applyFont="1" applyBorder="1" applyAlignment="1">
      <alignment vertical="center"/>
      <protection/>
    </xf>
    <xf numFmtId="4" fontId="19" fillId="0" borderId="27" xfId="44" applyNumberFormat="1" applyFont="1" applyFill="1" applyBorder="1" applyAlignment="1">
      <alignment horizontal="right" vertical="center"/>
    </xf>
    <xf numFmtId="173" fontId="19" fillId="0" borderId="28" xfId="62" applyNumberFormat="1" applyFont="1" applyFill="1" applyBorder="1" applyAlignment="1">
      <alignment horizontal="center" vertical="center"/>
      <protection/>
    </xf>
    <xf numFmtId="173" fontId="19" fillId="0" borderId="29" xfId="59" applyNumberFormat="1" applyFont="1" applyFill="1" applyBorder="1" applyAlignment="1">
      <alignment horizontal="center" vertical="center"/>
      <protection/>
    </xf>
    <xf numFmtId="173" fontId="19" fillId="0" borderId="19" xfId="62" applyNumberFormat="1" applyFont="1" applyFill="1" applyBorder="1" applyAlignment="1">
      <alignment horizontal="center" vertical="center"/>
      <protection/>
    </xf>
    <xf numFmtId="4" fontId="19" fillId="0" borderId="25" xfId="58" applyNumberFormat="1" applyFont="1" applyFill="1" applyBorder="1">
      <alignment/>
      <protection/>
    </xf>
    <xf numFmtId="4" fontId="19" fillId="0" borderId="25" xfId="44" applyNumberFormat="1" applyFont="1" applyFill="1" applyBorder="1" applyAlignment="1">
      <alignment horizontal="right" vertical="center"/>
    </xf>
    <xf numFmtId="4" fontId="19" fillId="0" borderId="27" xfId="58" applyNumberFormat="1" applyFont="1" applyFill="1" applyBorder="1">
      <alignment/>
      <protection/>
    </xf>
    <xf numFmtId="4" fontId="19" fillId="0" borderId="25" xfId="61" applyNumberFormat="1" applyFont="1" applyFill="1" applyBorder="1">
      <alignment/>
      <protection/>
    </xf>
    <xf numFmtId="4" fontId="19" fillId="0" borderId="25" xfId="62" applyNumberFormat="1" applyFont="1" applyFill="1" applyBorder="1">
      <alignment/>
      <protection/>
    </xf>
    <xf numFmtId="4" fontId="19" fillId="0" borderId="26" xfId="62" applyNumberFormat="1" applyFont="1" applyFill="1" applyBorder="1">
      <alignment/>
      <protection/>
    </xf>
    <xf numFmtId="4" fontId="19" fillId="0" borderId="30" xfId="58" applyNumberFormat="1" applyFont="1" applyFill="1" applyBorder="1">
      <alignment/>
      <protection/>
    </xf>
    <xf numFmtId="4" fontId="19" fillId="0" borderId="26" xfId="58" applyNumberFormat="1" applyFont="1" applyFill="1" applyBorder="1">
      <alignment/>
      <protection/>
    </xf>
    <xf numFmtId="4" fontId="19" fillId="0" borderId="30" xfId="44" applyNumberFormat="1" applyFont="1" applyFill="1" applyBorder="1" applyAlignment="1">
      <alignment horizontal="right" vertical="center"/>
    </xf>
    <xf numFmtId="4" fontId="19" fillId="0" borderId="26" xfId="44" applyNumberFormat="1" applyFont="1" applyFill="1" applyBorder="1" applyAlignment="1">
      <alignment horizontal="right" vertical="center"/>
    </xf>
    <xf numFmtId="4" fontId="19" fillId="38" borderId="25" xfId="61" applyNumberFormat="1" applyFont="1" applyFill="1" applyBorder="1">
      <alignment/>
      <protection/>
    </xf>
    <xf numFmtId="4" fontId="19" fillId="0" borderId="26" xfId="61" applyNumberFormat="1" applyFont="1" applyFill="1" applyBorder="1">
      <alignment/>
      <protection/>
    </xf>
    <xf numFmtId="4" fontId="19" fillId="39" borderId="25" xfId="62" applyNumberFormat="1" applyFont="1" applyFill="1" applyBorder="1">
      <alignment/>
      <protection/>
    </xf>
    <xf numFmtId="4" fontId="19" fillId="38" borderId="25" xfId="62" applyNumberFormat="1" applyFont="1" applyFill="1" applyBorder="1">
      <alignment/>
      <protection/>
    </xf>
    <xf numFmtId="4" fontId="19" fillId="0" borderId="28" xfId="62" applyNumberFormat="1" applyFont="1" applyFill="1" applyBorder="1">
      <alignment/>
      <protection/>
    </xf>
    <xf numFmtId="4" fontId="19" fillId="0" borderId="29" xfId="62" applyNumberFormat="1" applyFont="1" applyFill="1" applyBorder="1">
      <alignment/>
      <protection/>
    </xf>
    <xf numFmtId="3" fontId="12" fillId="7" borderId="31" xfId="59" applyNumberFormat="1" applyFont="1" applyFill="1" applyBorder="1" applyAlignment="1">
      <alignment vertical="center"/>
      <protection/>
    </xf>
    <xf numFmtId="3" fontId="12" fillId="7" borderId="32" xfId="59" applyNumberFormat="1" applyFont="1" applyFill="1" applyBorder="1" applyAlignment="1">
      <alignment vertical="center"/>
      <protection/>
    </xf>
    <xf numFmtId="3" fontId="12" fillId="7" borderId="31" xfId="59" applyNumberFormat="1" applyFont="1" applyFill="1" applyBorder="1">
      <alignment/>
      <protection/>
    </xf>
    <xf numFmtId="3" fontId="12" fillId="7" borderId="32" xfId="59" applyNumberFormat="1" applyFont="1" applyFill="1" applyBorder="1">
      <alignment/>
      <protection/>
    </xf>
    <xf numFmtId="3" fontId="19" fillId="0" borderId="33" xfId="58" applyNumberFormat="1" applyFont="1" applyFill="1" applyBorder="1">
      <alignment/>
      <protection/>
    </xf>
    <xf numFmtId="3" fontId="19" fillId="0" borderId="33" xfId="59" applyNumberFormat="1" applyFont="1" applyFill="1" applyBorder="1">
      <alignment/>
      <protection/>
    </xf>
    <xf numFmtId="3" fontId="12" fillId="7" borderId="34" xfId="59" applyNumberFormat="1" applyFont="1" applyFill="1" applyBorder="1" applyAlignment="1">
      <alignment vertical="center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10" fontId="19" fillId="0" borderId="21" xfId="59" applyNumberFormat="1" applyFont="1" applyFill="1" applyBorder="1" applyAlignment="1">
      <alignment horizontal="center" vertical="center"/>
      <protection/>
    </xf>
    <xf numFmtId="3" fontId="19" fillId="0" borderId="21" xfId="58" applyNumberFormat="1" applyFont="1" applyFill="1" applyBorder="1">
      <alignment/>
      <protection/>
    </xf>
    <xf numFmtId="3" fontId="19" fillId="0" borderId="21" xfId="59" applyNumberFormat="1" applyFont="1" applyFill="1" applyBorder="1">
      <alignment/>
      <protection/>
    </xf>
    <xf numFmtId="3" fontId="12" fillId="7" borderId="35" xfId="59" applyNumberFormat="1" applyFont="1" applyFill="1" applyBorder="1" applyAlignment="1">
      <alignment vertical="center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10" fontId="19" fillId="0" borderId="33" xfId="59" applyNumberFormat="1" applyFont="1" applyFill="1" applyBorder="1" applyAlignment="1">
      <alignment horizontal="center" vertical="center"/>
      <protection/>
    </xf>
    <xf numFmtId="3" fontId="19" fillId="0" borderId="33" xfId="44" applyNumberFormat="1" applyFont="1" applyFill="1" applyBorder="1" applyAlignment="1">
      <alignment horizontal="right" vertical="center"/>
    </xf>
    <xf numFmtId="4" fontId="19" fillId="0" borderId="19" xfId="59" applyNumberFormat="1" applyFont="1" applyFill="1" applyBorder="1">
      <alignment/>
      <protection/>
    </xf>
    <xf numFmtId="4" fontId="19" fillId="0" borderId="23" xfId="58" applyNumberFormat="1" applyFont="1" applyFill="1" applyBorder="1">
      <alignment/>
      <protection/>
    </xf>
    <xf numFmtId="3" fontId="19" fillId="0" borderId="21" xfId="44" applyNumberFormat="1" applyFont="1" applyFill="1" applyBorder="1" applyAlignment="1">
      <alignment horizontal="right" vertical="center"/>
    </xf>
    <xf numFmtId="4" fontId="19" fillId="0" borderId="33" xfId="58" applyNumberFormat="1" applyFont="1" applyFill="1" applyBorder="1">
      <alignment/>
      <protection/>
    </xf>
    <xf numFmtId="4" fontId="19" fillId="0" borderId="27" xfId="61" applyNumberFormat="1" applyFont="1" applyFill="1" applyBorder="1">
      <alignment/>
      <protection/>
    </xf>
    <xf numFmtId="3" fontId="19" fillId="0" borderId="33" xfId="61" applyNumberFormat="1" applyFont="1" applyFill="1" applyBorder="1">
      <alignment/>
      <protection/>
    </xf>
    <xf numFmtId="4" fontId="19" fillId="0" borderId="33" xfId="61" applyNumberFormat="1" applyFont="1" applyFill="1" applyBorder="1">
      <alignment/>
      <protection/>
    </xf>
    <xf numFmtId="4" fontId="19" fillId="0" borderId="30" xfId="61" applyNumberFormat="1" applyFont="1" applyFill="1" applyBorder="1">
      <alignment/>
      <protection/>
    </xf>
    <xf numFmtId="3" fontId="19" fillId="0" borderId="21" xfId="61" applyNumberFormat="1" applyFont="1" applyFill="1" applyBorder="1">
      <alignment/>
      <protection/>
    </xf>
    <xf numFmtId="10" fontId="19" fillId="0" borderId="33" xfId="63" applyNumberFormat="1" applyFont="1" applyFill="1" applyBorder="1" applyAlignment="1">
      <alignment horizontal="center" vertical="center"/>
      <protection/>
    </xf>
    <xf numFmtId="3" fontId="19" fillId="0" borderId="33" xfId="62" applyNumberFormat="1" applyFont="1" applyFill="1" applyBorder="1">
      <alignment/>
      <protection/>
    </xf>
    <xf numFmtId="3" fontId="19" fillId="0" borderId="21" xfId="62" applyNumberFormat="1" applyFont="1" applyFill="1" applyBorder="1">
      <alignment/>
      <protection/>
    </xf>
    <xf numFmtId="4" fontId="19" fillId="0" borderId="27" xfId="62" applyNumberFormat="1" applyFont="1" applyFill="1" applyBorder="1">
      <alignment/>
      <protection/>
    </xf>
    <xf numFmtId="0" fontId="19" fillId="0" borderId="21" xfId="61" applyFont="1" applyFill="1" applyBorder="1" applyAlignment="1">
      <alignment horizontal="center" vertical="center"/>
      <protection/>
    </xf>
    <xf numFmtId="4" fontId="19" fillId="0" borderId="30" xfId="62" applyNumberFormat="1" applyFont="1" applyFill="1" applyBorder="1">
      <alignment/>
      <protection/>
    </xf>
    <xf numFmtId="4" fontId="19" fillId="0" borderId="33" xfId="62" applyNumberFormat="1" applyFont="1" applyFill="1" applyBorder="1">
      <alignment/>
      <protection/>
    </xf>
    <xf numFmtId="4" fontId="19" fillId="38" borderId="27" xfId="62" applyNumberFormat="1" applyFont="1" applyFill="1" applyBorder="1">
      <alignment/>
      <protection/>
    </xf>
    <xf numFmtId="173" fontId="19" fillId="0" borderId="21" xfId="59" applyNumberFormat="1" applyFont="1" applyFill="1" applyBorder="1" applyAlignment="1">
      <alignment horizontal="center" vertical="center"/>
      <protection/>
    </xf>
    <xf numFmtId="0" fontId="19" fillId="0" borderId="33" xfId="59" applyFont="1" applyFill="1" applyBorder="1" applyAlignment="1">
      <alignment horizontal="center" wrapText="1"/>
      <protection/>
    </xf>
    <xf numFmtId="0" fontId="19" fillId="0" borderId="21" xfId="61" applyFont="1" applyFill="1" applyBorder="1" applyAlignment="1">
      <alignment horizontal="center"/>
      <protection/>
    </xf>
    <xf numFmtId="10" fontId="19" fillId="0" borderId="33" xfId="62" applyNumberFormat="1" applyFont="1" applyFill="1" applyBorder="1" applyAlignment="1">
      <alignment horizontal="center" vertical="center"/>
      <protection/>
    </xf>
    <xf numFmtId="3" fontId="12" fillId="7" borderId="34" xfId="59" applyNumberFormat="1" applyFont="1" applyFill="1" applyBorder="1">
      <alignment/>
      <protection/>
    </xf>
    <xf numFmtId="3" fontId="12" fillId="7" borderId="35" xfId="59" applyNumberFormat="1" applyFont="1" applyFill="1" applyBorder="1">
      <alignment/>
      <protection/>
    </xf>
    <xf numFmtId="173" fontId="19" fillId="0" borderId="36" xfId="62" applyNumberFormat="1" applyFont="1" applyFill="1" applyBorder="1" applyAlignment="1">
      <alignment horizontal="center" vertical="center"/>
      <protection/>
    </xf>
    <xf numFmtId="4" fontId="19" fillId="0" borderId="36" xfId="62" applyNumberFormat="1" applyFont="1" applyFill="1" applyBorder="1">
      <alignment/>
      <protection/>
    </xf>
    <xf numFmtId="173" fontId="19" fillId="0" borderId="37" xfId="59" applyNumberFormat="1" applyFont="1" applyFill="1" applyBorder="1" applyAlignment="1">
      <alignment horizontal="center" vertical="center"/>
      <protection/>
    </xf>
    <xf numFmtId="4" fontId="19" fillId="0" borderId="37" xfId="62" applyNumberFormat="1" applyFont="1" applyFill="1" applyBorder="1">
      <alignment/>
      <protection/>
    </xf>
    <xf numFmtId="0" fontId="9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wrapText="1" indent="2"/>
    </xf>
    <xf numFmtId="0" fontId="72" fillId="0" borderId="0" xfId="58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wrapText="1" indent="2"/>
    </xf>
    <xf numFmtId="3" fontId="8" fillId="0" borderId="10" xfId="0" applyNumberFormat="1" applyFont="1" applyFill="1" applyBorder="1" applyAlignment="1">
      <alignment horizontal="center" vertical="center"/>
    </xf>
    <xf numFmtId="4" fontId="19" fillId="0" borderId="23" xfId="62" applyNumberFormat="1" applyFont="1" applyFill="1" applyBorder="1">
      <alignment/>
      <protection/>
    </xf>
    <xf numFmtId="3" fontId="12" fillId="7" borderId="38" xfId="59" applyNumberFormat="1" applyFont="1" applyFill="1" applyBorder="1">
      <alignment/>
      <protection/>
    </xf>
    <xf numFmtId="3" fontId="12" fillId="7" borderId="39" xfId="59" applyNumberFormat="1" applyFont="1" applyFill="1" applyBorder="1">
      <alignment/>
      <protection/>
    </xf>
    <xf numFmtId="10" fontId="19" fillId="0" borderId="36" xfId="63" applyNumberFormat="1" applyFont="1" applyFill="1" applyBorder="1" applyAlignment="1">
      <alignment horizontal="center" vertical="center"/>
      <protection/>
    </xf>
    <xf numFmtId="4" fontId="19" fillId="38" borderId="19" xfId="62" applyNumberFormat="1" applyFont="1" applyFill="1" applyBorder="1">
      <alignment/>
      <protection/>
    </xf>
    <xf numFmtId="3" fontId="19" fillId="0" borderId="18" xfId="62" applyNumberFormat="1" applyFont="1" applyFill="1" applyBorder="1">
      <alignment/>
      <protection/>
    </xf>
    <xf numFmtId="3" fontId="19" fillId="0" borderId="26" xfId="62" applyNumberFormat="1" applyFont="1" applyFill="1" applyBorder="1">
      <alignment/>
      <protection/>
    </xf>
    <xf numFmtId="0" fontId="19" fillId="0" borderId="23" xfId="61" applyFont="1" applyFill="1" applyBorder="1" applyAlignment="1">
      <alignment vertical="center"/>
      <protection/>
    </xf>
    <xf numFmtId="3" fontId="19" fillId="0" borderId="17" xfId="62" applyNumberFormat="1" applyFont="1" applyFill="1" applyBorder="1">
      <alignment/>
      <protection/>
    </xf>
    <xf numFmtId="3" fontId="19" fillId="0" borderId="25" xfId="62" applyNumberFormat="1" applyFont="1" applyFill="1" applyBorder="1">
      <alignment/>
      <protection/>
    </xf>
    <xf numFmtId="3" fontId="12" fillId="7" borderId="20" xfId="59" applyNumberFormat="1" applyFont="1" applyFill="1" applyBorder="1">
      <alignment/>
      <protection/>
    </xf>
    <xf numFmtId="3" fontId="12" fillId="7" borderId="24" xfId="59" applyNumberFormat="1" applyFont="1" applyFill="1" applyBorder="1">
      <alignment/>
      <protection/>
    </xf>
    <xf numFmtId="10" fontId="14" fillId="0" borderId="19" xfId="62" applyNumberFormat="1" applyFont="1" applyFill="1" applyBorder="1" applyAlignment="1">
      <alignment horizontal="center" vertical="center"/>
      <protection/>
    </xf>
    <xf numFmtId="3" fontId="14" fillId="0" borderId="19" xfId="62" applyNumberFormat="1" applyFont="1" applyFill="1" applyBorder="1">
      <alignment/>
      <protection/>
    </xf>
    <xf numFmtId="0" fontId="14" fillId="0" borderId="23" xfId="61" applyFont="1" applyFill="1" applyBorder="1">
      <alignment/>
      <protection/>
    </xf>
    <xf numFmtId="10" fontId="14" fillId="0" borderId="23" xfId="59" applyNumberFormat="1" applyFont="1" applyFill="1" applyBorder="1" applyAlignment="1">
      <alignment horizontal="center" vertical="center"/>
      <protection/>
    </xf>
    <xf numFmtId="3" fontId="14" fillId="0" borderId="23" xfId="62" applyNumberFormat="1" applyFont="1" applyFill="1" applyBorder="1">
      <alignment/>
      <protection/>
    </xf>
    <xf numFmtId="2" fontId="5" fillId="0" borderId="0" xfId="7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9" fillId="38" borderId="10" xfId="59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vertical="center"/>
      <protection/>
    </xf>
    <xf numFmtId="0" fontId="73" fillId="0" borderId="0" xfId="58" applyFont="1" applyAlignment="1">
      <alignment horizontal="right" vertical="center" wrapText="1"/>
      <protection/>
    </xf>
    <xf numFmtId="0" fontId="18" fillId="3" borderId="0" xfId="0" applyFont="1" applyFill="1" applyAlignment="1">
      <alignment/>
    </xf>
    <xf numFmtId="0" fontId="4" fillId="3" borderId="0" xfId="0" applyFont="1" applyFill="1" applyAlignment="1">
      <alignment horizontal="left" vertical="top" wrapText="1"/>
    </xf>
    <xf numFmtId="3" fontId="4" fillId="3" borderId="0" xfId="0" applyNumberFormat="1" applyFont="1" applyFill="1" applyAlignment="1">
      <alignment horizontal="right" vertical="center" wrapText="1"/>
    </xf>
    <xf numFmtId="0" fontId="17" fillId="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right" vertical="center" wrapText="1"/>
    </xf>
    <xf numFmtId="0" fontId="2" fillId="35" borderId="0" xfId="0" applyFont="1" applyFill="1" applyAlignment="1">
      <alignment horizontal="left" vertical="top" wrapText="1"/>
    </xf>
    <xf numFmtId="3" fontId="2" fillId="35" borderId="0" xfId="0" applyNumberFormat="1" applyFont="1" applyFill="1" applyAlignment="1">
      <alignment horizontal="right" vertical="center" wrapText="1"/>
    </xf>
    <xf numFmtId="0" fontId="17" fillId="0" borderId="0" xfId="58" applyFont="1" applyAlignment="1">
      <alignment vertical="center"/>
      <protection/>
    </xf>
    <xf numFmtId="10" fontId="19" fillId="0" borderId="28" xfId="63" applyNumberFormat="1" applyFont="1" applyFill="1" applyBorder="1" applyAlignment="1">
      <alignment horizontal="center" vertical="center"/>
      <protection/>
    </xf>
    <xf numFmtId="10" fontId="19" fillId="0" borderId="29" xfId="59" applyNumberFormat="1" applyFont="1" applyFill="1" applyBorder="1" applyAlignment="1">
      <alignment horizontal="center" vertical="center"/>
      <protection/>
    </xf>
    <xf numFmtId="4" fontId="19" fillId="39" borderId="19" xfId="58" applyNumberFormat="1" applyFont="1" applyFill="1" applyBorder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6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0" borderId="0" xfId="58" applyFont="1" applyAlignment="1">
      <alignment horizontal="left"/>
      <protection/>
    </xf>
    <xf numFmtId="0" fontId="73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35" borderId="40" xfId="58" applyFont="1" applyFill="1" applyBorder="1" applyAlignment="1">
      <alignment horizontal="center" vertical="top" wrapText="1"/>
      <protection/>
    </xf>
    <xf numFmtId="0" fontId="0" fillId="0" borderId="40" xfId="0" applyBorder="1" applyAlignment="1">
      <alignment horizontal="center" vertical="top" wrapText="1"/>
    </xf>
    <xf numFmtId="0" fontId="4" fillId="35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19" fillId="0" borderId="19" xfId="61" applyFont="1" applyFill="1" applyBorder="1" applyAlignment="1">
      <alignment horizontal="center" vertical="center" wrapText="1"/>
      <protection/>
    </xf>
    <xf numFmtId="0" fontId="19" fillId="0" borderId="23" xfId="6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/>
    </xf>
    <xf numFmtId="4" fontId="19" fillId="0" borderId="23" xfId="44" applyNumberFormat="1" applyFont="1" applyFill="1" applyBorder="1" applyAlignment="1">
      <alignment horizontal="center" vertical="center"/>
    </xf>
    <xf numFmtId="0" fontId="19" fillId="0" borderId="43" xfId="59" applyFont="1" applyFill="1" applyBorder="1" applyAlignment="1">
      <alignment horizontal="center" vertical="center" wrapText="1"/>
      <protection/>
    </xf>
    <xf numFmtId="0" fontId="19" fillId="0" borderId="44" xfId="59" applyFont="1" applyFill="1" applyBorder="1" applyAlignment="1">
      <alignment horizontal="center" vertical="center" wrapText="1"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0" fontId="14" fillId="0" borderId="19" xfId="61" applyFont="1" applyFill="1" applyBorder="1" applyAlignment="1">
      <alignment horizontal="center" vertical="center" wrapText="1"/>
      <protection/>
    </xf>
    <xf numFmtId="0" fontId="14" fillId="0" borderId="23" xfId="61" applyFont="1" applyFill="1" applyBorder="1" applyAlignment="1">
      <alignment horizontal="center" vertical="center" wrapText="1"/>
      <protection/>
    </xf>
    <xf numFmtId="4" fontId="14" fillId="0" borderId="19" xfId="44" applyNumberFormat="1" applyFont="1" applyFill="1" applyBorder="1" applyAlignment="1">
      <alignment horizontal="center" vertical="center"/>
    </xf>
    <xf numFmtId="4" fontId="14" fillId="0" borderId="23" xfId="44" applyNumberFormat="1" applyFont="1" applyFill="1" applyBorder="1" applyAlignment="1">
      <alignment horizontal="center" vertical="center"/>
    </xf>
    <xf numFmtId="0" fontId="14" fillId="0" borderId="19" xfId="59" applyFont="1" applyFill="1" applyBorder="1" applyAlignment="1">
      <alignment horizontal="center" vertical="center" wrapText="1"/>
      <protection/>
    </xf>
    <xf numFmtId="0" fontId="14" fillId="0" borderId="23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19" fillId="0" borderId="47" xfId="59" applyFont="1" applyFill="1" applyBorder="1" applyAlignment="1">
      <alignment horizontal="center" vertical="center"/>
      <protection/>
    </xf>
    <xf numFmtId="0" fontId="19" fillId="0" borderId="48" xfId="59" applyFont="1" applyFill="1" applyBorder="1" applyAlignment="1">
      <alignment horizontal="center" vertical="center"/>
      <protection/>
    </xf>
    <xf numFmtId="0" fontId="5" fillId="37" borderId="41" xfId="59" applyFont="1" applyFill="1" applyBorder="1" applyAlignment="1">
      <alignment horizontal="left"/>
      <protection/>
    </xf>
    <xf numFmtId="0" fontId="5" fillId="37" borderId="12" xfId="59" applyFont="1" applyFill="1" applyBorder="1" applyAlignment="1">
      <alignment horizontal="left"/>
      <protection/>
    </xf>
    <xf numFmtId="0" fontId="5" fillId="37" borderId="42" xfId="59" applyFont="1" applyFill="1" applyBorder="1" applyAlignment="1">
      <alignment horizontal="left"/>
      <protection/>
    </xf>
    <xf numFmtId="0" fontId="19" fillId="0" borderId="47" xfId="59" applyFont="1" applyFill="1" applyBorder="1" applyAlignment="1">
      <alignment horizontal="center"/>
      <protection/>
    </xf>
    <xf numFmtId="0" fontId="19" fillId="0" borderId="48" xfId="59" applyFont="1" applyFill="1" applyBorder="1" applyAlignment="1">
      <alignment horizontal="center"/>
      <protection/>
    </xf>
    <xf numFmtId="0" fontId="9" fillId="0" borderId="49" xfId="59" applyFont="1" applyFill="1" applyBorder="1" applyAlignment="1">
      <alignment horizontal="center"/>
      <protection/>
    </xf>
    <xf numFmtId="0" fontId="9" fillId="0" borderId="50" xfId="59" applyFont="1" applyFill="1" applyBorder="1" applyAlignment="1">
      <alignment horizontal="center"/>
      <protection/>
    </xf>
    <xf numFmtId="3" fontId="9" fillId="0" borderId="17" xfId="59" applyNumberFormat="1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9" fillId="0" borderId="51" xfId="59" applyFont="1" applyFill="1" applyBorder="1" applyAlignment="1">
      <alignment horizontal="center" vertical="center"/>
      <protection/>
    </xf>
    <xf numFmtId="0" fontId="19" fillId="0" borderId="52" xfId="59" applyFont="1" applyFill="1" applyBorder="1" applyAlignment="1">
      <alignment horizontal="center" vertical="center"/>
      <protection/>
    </xf>
    <xf numFmtId="0" fontId="19" fillId="0" borderId="33" xfId="61" applyFont="1" applyFill="1" applyBorder="1" applyAlignment="1">
      <alignment horizontal="center" vertical="center" wrapText="1"/>
      <protection/>
    </xf>
    <xf numFmtId="0" fontId="19" fillId="0" borderId="21" xfId="61" applyFont="1" applyFill="1" applyBorder="1" applyAlignment="1">
      <alignment horizontal="center" vertical="center" wrapText="1"/>
      <protection/>
    </xf>
    <xf numFmtId="4" fontId="19" fillId="0" borderId="33" xfId="44" applyNumberFormat="1" applyFont="1" applyFill="1" applyBorder="1" applyAlignment="1">
      <alignment horizontal="center" vertical="center"/>
    </xf>
    <xf numFmtId="4" fontId="19" fillId="0" borderId="21" xfId="44" applyNumberFormat="1" applyFont="1" applyFill="1" applyBorder="1" applyAlignment="1">
      <alignment horizontal="center" vertical="center"/>
    </xf>
    <xf numFmtId="0" fontId="19" fillId="0" borderId="17" xfId="59" applyFont="1" applyFill="1" applyBorder="1" applyAlignment="1">
      <alignment horizontal="center" vertical="center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174" fontId="5" fillId="37" borderId="10" xfId="59" applyNumberFormat="1" applyFont="1" applyFill="1" applyBorder="1" applyAlignment="1">
      <alignment/>
      <protection/>
    </xf>
    <xf numFmtId="174" fontId="5" fillId="36" borderId="13" xfId="59" applyNumberFormat="1" applyFont="1" applyFill="1" applyBorder="1" applyAlignment="1">
      <alignment/>
      <protection/>
    </xf>
    <xf numFmtId="174" fontId="5" fillId="13" borderId="15" xfId="59" applyNumberFormat="1" applyFont="1" applyFill="1" applyBorder="1" applyAlignment="1">
      <alignment/>
      <protection/>
    </xf>
    <xf numFmtId="0" fontId="5" fillId="37" borderId="10" xfId="59" applyFont="1" applyFill="1" applyBorder="1" applyAlignment="1">
      <alignment horizontal="left"/>
      <protection/>
    </xf>
    <xf numFmtId="175" fontId="9" fillId="0" borderId="17" xfId="44" applyNumberFormat="1" applyFont="1" applyFill="1" applyBorder="1" applyAlignment="1">
      <alignment horizontal="center" vertical="center"/>
    </xf>
    <xf numFmtId="175" fontId="9" fillId="0" borderId="18" xfId="44" applyNumberFormat="1" applyFont="1" applyFill="1" applyBorder="1" applyAlignment="1">
      <alignment horizontal="center" vertical="center"/>
    </xf>
    <xf numFmtId="0" fontId="9" fillId="0" borderId="17" xfId="59" applyFont="1" applyFill="1" applyBorder="1" applyAlignment="1">
      <alignment horizontal="center" wrapText="1"/>
      <protection/>
    </xf>
    <xf numFmtId="0" fontId="9" fillId="0" borderId="18" xfId="59" applyFont="1" applyFill="1" applyBorder="1" applyAlignment="1">
      <alignment horizontal="center" wrapText="1"/>
      <protection/>
    </xf>
    <xf numFmtId="174" fontId="5" fillId="37" borderId="10" xfId="59" applyNumberFormat="1" applyFont="1" applyFill="1" applyBorder="1" applyAlignment="1">
      <alignment horizontal="left"/>
      <protection/>
    </xf>
    <xf numFmtId="174" fontId="5" fillId="36" borderId="13" xfId="59" applyNumberFormat="1" applyFont="1" applyFill="1" applyBorder="1" applyAlignment="1">
      <alignment horizontal="left"/>
      <protection/>
    </xf>
    <xf numFmtId="174" fontId="5" fillId="13" borderId="15" xfId="59" applyNumberFormat="1" applyFont="1" applyFill="1" applyBorder="1" applyAlignment="1">
      <alignment horizontal="left"/>
      <protection/>
    </xf>
    <xf numFmtId="0" fontId="9" fillId="0" borderId="0" xfId="59" applyFont="1" applyAlignment="1">
      <alignment horizontal="right"/>
      <protection/>
    </xf>
    <xf numFmtId="0" fontId="4" fillId="0" borderId="40" xfId="59" applyFont="1" applyBorder="1" applyAlignment="1">
      <alignment horizontal="left" vertical="center"/>
      <protection/>
    </xf>
    <xf numFmtId="175" fontId="19" fillId="0" borderId="19" xfId="44" applyNumberFormat="1" applyFont="1" applyFill="1" applyBorder="1" applyAlignment="1">
      <alignment horizontal="center" vertical="center"/>
    </xf>
    <xf numFmtId="175" fontId="19" fillId="0" borderId="23" xfId="44" applyNumberFormat="1" applyFont="1" applyFill="1" applyBorder="1" applyAlignment="1">
      <alignment horizontal="center" vertical="center"/>
    </xf>
    <xf numFmtId="0" fontId="19" fillId="0" borderId="19" xfId="59" applyFont="1" applyFill="1" applyBorder="1" applyAlignment="1">
      <alignment horizontal="center" wrapText="1"/>
      <protection/>
    </xf>
    <xf numFmtId="0" fontId="19" fillId="0" borderId="23" xfId="59" applyFont="1" applyFill="1" applyBorder="1" applyAlignment="1">
      <alignment horizontal="center" wrapText="1"/>
      <protection/>
    </xf>
    <xf numFmtId="0" fontId="9" fillId="0" borderId="10" xfId="59" applyFont="1" applyBorder="1" applyAlignment="1">
      <alignment horizontal="right" vertical="center"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174" fontId="5" fillId="37" borderId="53" xfId="59" applyNumberFormat="1" applyFont="1" applyFill="1" applyBorder="1" applyAlignment="1">
      <alignment horizontal="left" vertical="center"/>
      <protection/>
    </xf>
    <xf numFmtId="174" fontId="5" fillId="37" borderId="54" xfId="59" applyNumberFormat="1" applyFont="1" applyFill="1" applyBorder="1" applyAlignment="1">
      <alignment horizontal="left" vertical="center"/>
      <protection/>
    </xf>
    <xf numFmtId="174" fontId="5" fillId="37" borderId="55" xfId="59" applyNumberFormat="1" applyFont="1" applyFill="1" applyBorder="1" applyAlignment="1">
      <alignment horizontal="left" vertical="center"/>
      <protection/>
    </xf>
    <xf numFmtId="174" fontId="5" fillId="13" borderId="56" xfId="59" applyNumberFormat="1" applyFont="1" applyFill="1" applyBorder="1" applyAlignment="1">
      <alignment horizontal="left" vertical="center"/>
      <protection/>
    </xf>
    <xf numFmtId="174" fontId="5" fillId="13" borderId="57" xfId="59" applyNumberFormat="1" applyFont="1" applyFill="1" applyBorder="1" applyAlignment="1">
      <alignment horizontal="left" vertical="center"/>
      <protection/>
    </xf>
    <xf numFmtId="174" fontId="5" fillId="13" borderId="58" xfId="59" applyNumberFormat="1" applyFont="1" applyFill="1" applyBorder="1" applyAlignment="1">
      <alignment horizontal="left" vertical="center"/>
      <protection/>
    </xf>
    <xf numFmtId="0" fontId="5" fillId="37" borderId="59" xfId="59" applyFont="1" applyFill="1" applyBorder="1" applyAlignment="1">
      <alignment horizontal="left" vertical="center"/>
      <protection/>
    </xf>
    <xf numFmtId="0" fontId="5" fillId="37" borderId="40" xfId="59" applyFont="1" applyFill="1" applyBorder="1" applyAlignment="1">
      <alignment horizontal="left" vertical="center"/>
      <protection/>
    </xf>
    <xf numFmtId="0" fontId="5" fillId="37" borderId="60" xfId="59" applyFont="1" applyFill="1" applyBorder="1" applyAlignment="1">
      <alignment horizontal="left" vertical="center"/>
      <protection/>
    </xf>
    <xf numFmtId="0" fontId="5" fillId="37" borderId="41" xfId="59" applyFont="1" applyFill="1" applyBorder="1" applyAlignment="1">
      <alignment horizontal="left" vertical="center"/>
      <protection/>
    </xf>
    <xf numFmtId="0" fontId="5" fillId="37" borderId="12" xfId="59" applyFont="1" applyFill="1" applyBorder="1" applyAlignment="1">
      <alignment horizontal="left" vertical="center"/>
      <protection/>
    </xf>
    <xf numFmtId="0" fontId="5" fillId="37" borderId="42" xfId="59" applyFont="1" applyFill="1" applyBorder="1" applyAlignment="1">
      <alignment horizontal="left" vertical="center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174" fontId="5" fillId="37" borderId="41" xfId="59" applyNumberFormat="1" applyFont="1" applyFill="1" applyBorder="1" applyAlignment="1">
      <alignment horizontal="left" vertical="center"/>
      <protection/>
    </xf>
    <xf numFmtId="174" fontId="5" fillId="37" borderId="12" xfId="59" applyNumberFormat="1" applyFont="1" applyFill="1" applyBorder="1" applyAlignment="1">
      <alignment horizontal="left" vertical="center"/>
      <protection/>
    </xf>
    <xf numFmtId="174" fontId="5" fillId="37" borderId="42" xfId="59" applyNumberFormat="1" applyFont="1" applyFill="1" applyBorder="1" applyAlignment="1">
      <alignment horizontal="left" vertical="center"/>
      <protection/>
    </xf>
    <xf numFmtId="0" fontId="19" fillId="0" borderId="61" xfId="59" applyFont="1" applyFill="1" applyBorder="1" applyAlignment="1">
      <alignment horizontal="center" vertical="center"/>
      <protection/>
    </xf>
    <xf numFmtId="0" fontId="19" fillId="0" borderId="62" xfId="61" applyFont="1" applyFill="1" applyBorder="1" applyAlignment="1">
      <alignment horizontal="center" vertical="center" wrapText="1"/>
      <protection/>
    </xf>
    <xf numFmtId="4" fontId="19" fillId="0" borderId="62" xfId="44" applyNumberFormat="1" applyFont="1" applyFill="1" applyBorder="1" applyAlignment="1">
      <alignment horizontal="center" vertical="center"/>
    </xf>
    <xf numFmtId="0" fontId="19" fillId="0" borderId="62" xfId="59" applyFont="1" applyFill="1" applyBorder="1" applyAlignment="1">
      <alignment horizontal="center" vertical="center" wrapText="1"/>
      <protection/>
    </xf>
    <xf numFmtId="3" fontId="19" fillId="0" borderId="19" xfId="61" applyNumberFormat="1" applyFont="1" applyFill="1" applyBorder="1" applyAlignment="1">
      <alignment horizontal="center" vertical="center" wrapText="1"/>
      <protection/>
    </xf>
    <xf numFmtId="4" fontId="19" fillId="0" borderId="33" xfId="44" applyNumberFormat="1" applyFont="1" applyFill="1" applyBorder="1" applyAlignment="1">
      <alignment horizontal="center" vertical="center" wrapText="1"/>
    </xf>
    <xf numFmtId="4" fontId="19" fillId="0" borderId="21" xfId="44" applyNumberFormat="1" applyFont="1" applyFill="1" applyBorder="1" applyAlignment="1">
      <alignment horizontal="center" vertical="center" wrapText="1"/>
    </xf>
    <xf numFmtId="3" fontId="19" fillId="0" borderId="33" xfId="61" applyNumberFormat="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 wrapText="1"/>
    </xf>
    <xf numFmtId="4" fontId="19" fillId="0" borderId="23" xfId="44" applyNumberFormat="1" applyFont="1" applyFill="1" applyBorder="1" applyAlignment="1">
      <alignment horizontal="center" vertical="center" wrapText="1"/>
    </xf>
    <xf numFmtId="14" fontId="19" fillId="0" borderId="19" xfId="59" applyNumberFormat="1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/>
      <protection/>
    </xf>
    <xf numFmtId="0" fontId="12" fillId="33" borderId="47" xfId="59" applyFont="1" applyFill="1" applyBorder="1" applyAlignment="1">
      <alignment horizontal="center" vertical="center" wrapText="1"/>
      <protection/>
    </xf>
    <xf numFmtId="0" fontId="12" fillId="33" borderId="52" xfId="59" applyFont="1" applyFill="1" applyBorder="1" applyAlignment="1">
      <alignment horizontal="center" vertical="center" wrapText="1"/>
      <protection/>
    </xf>
    <xf numFmtId="0" fontId="12" fillId="33" borderId="19" xfId="59" applyFont="1" applyFill="1" applyBorder="1" applyAlignment="1">
      <alignment horizontal="center" vertical="center" wrapText="1"/>
      <protection/>
    </xf>
    <xf numFmtId="0" fontId="12" fillId="33" borderId="21" xfId="59" applyFont="1" applyFill="1" applyBorder="1" applyAlignment="1">
      <alignment horizontal="center" vertical="center" wrapText="1"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12" fillId="33" borderId="21" xfId="59" applyFont="1" applyFill="1" applyBorder="1" applyAlignment="1">
      <alignment horizontal="center" vertical="center"/>
      <protection/>
    </xf>
    <xf numFmtId="0" fontId="12" fillId="33" borderId="45" xfId="59" applyFont="1" applyFill="1" applyBorder="1" applyAlignment="1">
      <alignment horizontal="center" vertical="center"/>
      <protection/>
    </xf>
    <xf numFmtId="0" fontId="12" fillId="33" borderId="46" xfId="59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 2" xfId="60"/>
    <cellStyle name="Normal 5 2 2" xfId="61"/>
    <cellStyle name="Normal 6 2" xfId="62"/>
    <cellStyle name="Normal 6 2 3" xfId="63"/>
    <cellStyle name="Normal 7" xfId="64"/>
    <cellStyle name="Normal_Pamatformas 2" xfId="65"/>
    <cellStyle name="Note" xfId="66"/>
    <cellStyle name="Output" xfId="67"/>
    <cellStyle name="Percent" xfId="68"/>
    <cellStyle name="Percent 2 3" xfId="69"/>
    <cellStyle name="Percent 4 2" xfId="70"/>
    <cellStyle name="Percent 6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4" customWidth="1"/>
    <col min="2" max="2" width="41.57421875" style="5" customWidth="1"/>
    <col min="3" max="3" width="12.57421875" style="6" customWidth="1"/>
    <col min="4" max="4" width="11.7109375" style="6" customWidth="1"/>
    <col min="5" max="5" width="12.57421875" style="6" customWidth="1"/>
    <col min="6" max="6" width="9.140625" style="6" customWidth="1"/>
    <col min="7" max="7" width="10.140625" style="6" bestFit="1" customWidth="1"/>
    <col min="8" max="16384" width="9.140625" style="6" customWidth="1"/>
  </cols>
  <sheetData>
    <row r="1" spans="1:7" ht="15">
      <c r="A1" s="1"/>
      <c r="B1" s="2"/>
      <c r="C1" s="3"/>
      <c r="D1" s="401" t="s">
        <v>1</v>
      </c>
      <c r="E1" s="401"/>
      <c r="G1" s="106"/>
    </row>
    <row r="2" spans="2:5" ht="15">
      <c r="B2" s="401" t="s">
        <v>917</v>
      </c>
      <c r="C2" s="401"/>
      <c r="D2" s="401"/>
      <c r="E2" s="401"/>
    </row>
    <row r="3" spans="2:5" ht="15">
      <c r="B3" s="2"/>
      <c r="C3" s="402" t="s">
        <v>919</v>
      </c>
      <c r="D3" s="402"/>
      <c r="E3" s="402"/>
    </row>
    <row r="5" spans="1:5" ht="18.75">
      <c r="A5" s="403" t="s">
        <v>829</v>
      </c>
      <c r="B5" s="403"/>
      <c r="C5" s="403"/>
      <c r="D5" s="403"/>
      <c r="E5" s="403"/>
    </row>
    <row r="6" spans="1:5" ht="15">
      <c r="A6" s="404" t="s">
        <v>2</v>
      </c>
      <c r="B6" s="404"/>
      <c r="C6" s="404"/>
      <c r="D6" s="404"/>
      <c r="E6" s="404"/>
    </row>
    <row r="7" spans="1:5" ht="15">
      <c r="A7" s="1"/>
      <c r="B7" s="2"/>
      <c r="C7" s="3"/>
      <c r="D7" s="3"/>
      <c r="E7" s="7" t="s">
        <v>3</v>
      </c>
    </row>
    <row r="8" spans="1:5" ht="38.25">
      <c r="A8" s="8" t="s">
        <v>4</v>
      </c>
      <c r="B8" s="8" t="s">
        <v>5</v>
      </c>
      <c r="C8" s="8" t="s">
        <v>743</v>
      </c>
      <c r="D8" s="8" t="s">
        <v>6</v>
      </c>
      <c r="E8" s="381" t="s">
        <v>898</v>
      </c>
    </row>
    <row r="9" spans="1:5" ht="21.75" customHeight="1">
      <c r="A9" s="9"/>
      <c r="B9" s="10" t="s">
        <v>7</v>
      </c>
      <c r="C9" s="11">
        <f>C10+C20+C49+C59</f>
        <v>85231045</v>
      </c>
      <c r="D9" s="11">
        <f>D10+D20+D49+D59</f>
        <v>86901</v>
      </c>
      <c r="E9" s="11">
        <f>E10+E20+E49+E59</f>
        <v>85317946</v>
      </c>
    </row>
    <row r="10" spans="1:5" ht="15">
      <c r="A10" s="12"/>
      <c r="B10" s="13" t="s">
        <v>8</v>
      </c>
      <c r="C10" s="14">
        <f>C11+C13+C17</f>
        <v>40772709</v>
      </c>
      <c r="D10" s="14">
        <f>D11+D13+D17</f>
        <v>0</v>
      </c>
      <c r="E10" s="14">
        <f>E11+E13+E17</f>
        <v>40772709</v>
      </c>
    </row>
    <row r="11" spans="1:5" ht="17.25" customHeight="1">
      <c r="A11" s="15" t="s">
        <v>9</v>
      </c>
      <c r="B11" s="16" t="s">
        <v>10</v>
      </c>
      <c r="C11" s="17">
        <f>C12</f>
        <v>36940906</v>
      </c>
      <c r="D11" s="17">
        <f>D12</f>
        <v>0</v>
      </c>
      <c r="E11" s="17">
        <f>E12</f>
        <v>36940906</v>
      </c>
    </row>
    <row r="12" spans="1:5" ht="38.25">
      <c r="A12" s="21" t="s">
        <v>12</v>
      </c>
      <c r="B12" s="22" t="s">
        <v>744</v>
      </c>
      <c r="C12" s="23">
        <v>36940906</v>
      </c>
      <c r="D12" s="20">
        <v>0</v>
      </c>
      <c r="E12" s="23">
        <f>C12+D12</f>
        <v>36940906</v>
      </c>
    </row>
    <row r="13" spans="1:5" ht="15">
      <c r="A13" s="15" t="s">
        <v>13</v>
      </c>
      <c r="B13" s="16" t="s">
        <v>14</v>
      </c>
      <c r="C13" s="17">
        <f>C14+C15+C16</f>
        <v>3720000</v>
      </c>
      <c r="D13" s="17">
        <f>D14+D15+D16</f>
        <v>0</v>
      </c>
      <c r="E13" s="17">
        <f>E14+E15+E16</f>
        <v>3720000</v>
      </c>
    </row>
    <row r="14" spans="1:5" ht="15">
      <c r="A14" s="21" t="s">
        <v>15</v>
      </c>
      <c r="B14" s="22" t="s">
        <v>16</v>
      </c>
      <c r="C14" s="23">
        <v>1433561</v>
      </c>
      <c r="D14" s="23">
        <v>0</v>
      </c>
      <c r="E14" s="23">
        <f>C14+D14</f>
        <v>1433561</v>
      </c>
    </row>
    <row r="15" spans="1:5" ht="15">
      <c r="A15" s="21" t="s">
        <v>17</v>
      </c>
      <c r="B15" s="22" t="s">
        <v>18</v>
      </c>
      <c r="C15" s="23">
        <v>1435393</v>
      </c>
      <c r="D15" s="23">
        <v>0</v>
      </c>
      <c r="E15" s="23">
        <f>C15+D15</f>
        <v>1435393</v>
      </c>
    </row>
    <row r="16" spans="1:5" ht="15">
      <c r="A16" s="21" t="s">
        <v>19</v>
      </c>
      <c r="B16" s="22" t="s">
        <v>20</v>
      </c>
      <c r="C16" s="23">
        <v>851046</v>
      </c>
      <c r="D16" s="23">
        <v>0</v>
      </c>
      <c r="E16" s="23">
        <f>C16+D16</f>
        <v>851046</v>
      </c>
    </row>
    <row r="17" spans="1:5" ht="15">
      <c r="A17" s="15" t="s">
        <v>168</v>
      </c>
      <c r="B17" s="16" t="s">
        <v>745</v>
      </c>
      <c r="C17" s="17">
        <f>C18+C19</f>
        <v>111803</v>
      </c>
      <c r="D17" s="17">
        <f>D18+D19</f>
        <v>0</v>
      </c>
      <c r="E17" s="17">
        <f>E18+E19</f>
        <v>111803</v>
      </c>
    </row>
    <row r="18" spans="1:5" ht="15">
      <c r="A18" s="21" t="s">
        <v>21</v>
      </c>
      <c r="B18" s="22" t="s">
        <v>22</v>
      </c>
      <c r="C18" s="23">
        <v>91803</v>
      </c>
      <c r="D18" s="23">
        <v>0</v>
      </c>
      <c r="E18" s="23">
        <f>C18+D18</f>
        <v>91803</v>
      </c>
    </row>
    <row r="19" spans="1:5" ht="15">
      <c r="A19" s="21" t="s">
        <v>23</v>
      </c>
      <c r="B19" s="25" t="s">
        <v>24</v>
      </c>
      <c r="C19" s="23">
        <v>20000</v>
      </c>
      <c r="D19" s="23">
        <v>0</v>
      </c>
      <c r="E19" s="23">
        <f>C19+D19</f>
        <v>20000</v>
      </c>
    </row>
    <row r="20" spans="1:7" ht="15">
      <c r="A20" s="12"/>
      <c r="B20" s="13" t="s">
        <v>25</v>
      </c>
      <c r="C20" s="14">
        <f>C21+C34+C38+C45</f>
        <v>321987</v>
      </c>
      <c r="D20" s="14">
        <f>D21+D34+D38+D45</f>
        <v>0</v>
      </c>
      <c r="E20" s="14">
        <f>E21+E34+E38+E45</f>
        <v>321987</v>
      </c>
      <c r="G20" s="107"/>
    </row>
    <row r="21" spans="1:7" ht="15">
      <c r="A21" s="15" t="s">
        <v>26</v>
      </c>
      <c r="B21" s="16" t="s">
        <v>27</v>
      </c>
      <c r="C21" s="17">
        <f>C22+C26</f>
        <v>67100</v>
      </c>
      <c r="D21" s="17">
        <f>D22+D26</f>
        <v>0</v>
      </c>
      <c r="E21" s="17">
        <f>E22+E26</f>
        <v>67100</v>
      </c>
      <c r="G21" s="107"/>
    </row>
    <row r="22" spans="1:5" ht="15">
      <c r="A22" s="24" t="s">
        <v>28</v>
      </c>
      <c r="B22" s="16" t="s">
        <v>29</v>
      </c>
      <c r="C22" s="17">
        <f>SUM(C23:C25)</f>
        <v>16000</v>
      </c>
      <c r="D22" s="17">
        <f>SUM(D23:D25)</f>
        <v>0</v>
      </c>
      <c r="E22" s="17">
        <f>SUM(E23:E25)</f>
        <v>16000</v>
      </c>
    </row>
    <row r="23" spans="1:5" ht="38.25">
      <c r="A23" s="21" t="s">
        <v>30</v>
      </c>
      <c r="B23" s="22" t="s">
        <v>31</v>
      </c>
      <c r="C23" s="23">
        <v>3000</v>
      </c>
      <c r="D23" s="23">
        <v>0</v>
      </c>
      <c r="E23" s="23">
        <f>C23+D23</f>
        <v>3000</v>
      </c>
    </row>
    <row r="24" spans="1:5" ht="63.75">
      <c r="A24" s="21" t="s">
        <v>32</v>
      </c>
      <c r="B24" s="22" t="s">
        <v>33</v>
      </c>
      <c r="C24" s="23">
        <v>9000</v>
      </c>
      <c r="D24" s="23">
        <v>0</v>
      </c>
      <c r="E24" s="23">
        <f aca="true" t="shared" si="0" ref="E24:E33">C24+D24</f>
        <v>9000</v>
      </c>
    </row>
    <row r="25" spans="1:5" ht="25.5">
      <c r="A25" s="21" t="s">
        <v>34</v>
      </c>
      <c r="B25" s="22" t="s">
        <v>35</v>
      </c>
      <c r="C25" s="23">
        <v>4000</v>
      </c>
      <c r="D25" s="23">
        <v>0</v>
      </c>
      <c r="E25" s="23">
        <f t="shared" si="0"/>
        <v>4000</v>
      </c>
    </row>
    <row r="26" spans="1:5" ht="15">
      <c r="A26" s="24" t="s">
        <v>36</v>
      </c>
      <c r="B26" s="16" t="s">
        <v>37</v>
      </c>
      <c r="C26" s="17">
        <f>SUM(C27:C33)</f>
        <v>51100</v>
      </c>
      <c r="D26" s="17">
        <f>SUM(D27:D33)</f>
        <v>0</v>
      </c>
      <c r="E26" s="17">
        <f>SUM(E27:E33)</f>
        <v>51100</v>
      </c>
    </row>
    <row r="27" spans="1:5" ht="39">
      <c r="A27" s="21" t="s">
        <v>38</v>
      </c>
      <c r="B27" s="25" t="s">
        <v>39</v>
      </c>
      <c r="C27" s="23">
        <f>7400-100</f>
        <v>7300</v>
      </c>
      <c r="D27" s="20">
        <v>770</v>
      </c>
      <c r="E27" s="23">
        <f t="shared" si="0"/>
        <v>8070</v>
      </c>
    </row>
    <row r="28" spans="1:5" ht="26.25">
      <c r="A28" s="21" t="s">
        <v>40</v>
      </c>
      <c r="B28" s="25" t="s">
        <v>41</v>
      </c>
      <c r="C28" s="23">
        <v>500</v>
      </c>
      <c r="D28" s="20">
        <v>0</v>
      </c>
      <c r="E28" s="23">
        <f t="shared" si="0"/>
        <v>500</v>
      </c>
    </row>
    <row r="29" spans="1:5" ht="26.25">
      <c r="A29" s="21" t="s">
        <v>42</v>
      </c>
      <c r="B29" s="25" t="s">
        <v>43</v>
      </c>
      <c r="C29" s="23">
        <f>3000-100</f>
        <v>2900</v>
      </c>
      <c r="D29" s="20">
        <v>-770</v>
      </c>
      <c r="E29" s="23">
        <f t="shared" si="0"/>
        <v>2130</v>
      </c>
    </row>
    <row r="30" spans="1:5" ht="15">
      <c r="A30" s="21" t="s">
        <v>44</v>
      </c>
      <c r="B30" s="25" t="s">
        <v>45</v>
      </c>
      <c r="C30" s="23">
        <f>4200+200</f>
        <v>4400</v>
      </c>
      <c r="D30" s="20">
        <v>0</v>
      </c>
      <c r="E30" s="23">
        <f t="shared" si="0"/>
        <v>4400</v>
      </c>
    </row>
    <row r="31" spans="1:5" ht="28.5" customHeight="1">
      <c r="A31" s="21" t="s">
        <v>46</v>
      </c>
      <c r="B31" s="25" t="s">
        <v>47</v>
      </c>
      <c r="C31" s="23">
        <v>10000</v>
      </c>
      <c r="D31" s="23">
        <v>0</v>
      </c>
      <c r="E31" s="23">
        <f t="shared" si="0"/>
        <v>10000</v>
      </c>
    </row>
    <row r="32" spans="1:5" ht="26.25">
      <c r="A32" s="21" t="s">
        <v>48</v>
      </c>
      <c r="B32" s="25" t="s">
        <v>49</v>
      </c>
      <c r="C32" s="23">
        <v>20000</v>
      </c>
      <c r="D32" s="23">
        <v>0</v>
      </c>
      <c r="E32" s="23">
        <f t="shared" si="0"/>
        <v>20000</v>
      </c>
    </row>
    <row r="33" spans="1:5" ht="15">
      <c r="A33" s="21" t="s">
        <v>50</v>
      </c>
      <c r="B33" s="25" t="s">
        <v>51</v>
      </c>
      <c r="C33" s="23">
        <v>6000</v>
      </c>
      <c r="D33" s="23">
        <v>0</v>
      </c>
      <c r="E33" s="23">
        <f t="shared" si="0"/>
        <v>6000</v>
      </c>
    </row>
    <row r="34" spans="1:5" ht="15">
      <c r="A34" s="15" t="s">
        <v>52</v>
      </c>
      <c r="B34" s="16" t="s">
        <v>53</v>
      </c>
      <c r="C34" s="17">
        <f>C35</f>
        <v>150000</v>
      </c>
      <c r="D34" s="17">
        <f>D35</f>
        <v>0</v>
      </c>
      <c r="E34" s="17">
        <f>E35</f>
        <v>150000</v>
      </c>
    </row>
    <row r="35" spans="1:5" ht="15">
      <c r="A35" s="24" t="s">
        <v>54</v>
      </c>
      <c r="B35" s="16" t="s">
        <v>55</v>
      </c>
      <c r="C35" s="17">
        <f>SUM(C36:C37)</f>
        <v>150000</v>
      </c>
      <c r="D35" s="17">
        <f>SUM(D36:D37)</f>
        <v>0</v>
      </c>
      <c r="E35" s="17">
        <f>SUM(E36:E37)</f>
        <v>150000</v>
      </c>
    </row>
    <row r="36" spans="1:5" ht="15">
      <c r="A36" s="21" t="s">
        <v>56</v>
      </c>
      <c r="B36" s="22" t="s">
        <v>57</v>
      </c>
      <c r="C36" s="23">
        <v>77000</v>
      </c>
      <c r="D36" s="23">
        <v>0</v>
      </c>
      <c r="E36" s="23">
        <f>C36+D36</f>
        <v>77000</v>
      </c>
    </row>
    <row r="37" spans="1:5" ht="24.75" customHeight="1">
      <c r="A37" s="21" t="s">
        <v>58</v>
      </c>
      <c r="B37" s="22" t="s">
        <v>59</v>
      </c>
      <c r="C37" s="23">
        <v>73000</v>
      </c>
      <c r="D37" s="23">
        <v>0</v>
      </c>
      <c r="E37" s="23">
        <f>C37+D37</f>
        <v>73000</v>
      </c>
    </row>
    <row r="38" spans="1:5" ht="15" hidden="1">
      <c r="A38" s="119" t="s">
        <v>60</v>
      </c>
      <c r="B38" s="120" t="s">
        <v>61</v>
      </c>
      <c r="C38" s="74">
        <f>C39+C41</f>
        <v>0</v>
      </c>
      <c r="D38" s="74">
        <f>D39+D41</f>
        <v>0</v>
      </c>
      <c r="E38" s="74">
        <f>E39+E41</f>
        <v>0</v>
      </c>
    </row>
    <row r="39" spans="1:5" ht="38.25" hidden="1">
      <c r="A39" s="121" t="s">
        <v>62</v>
      </c>
      <c r="B39" s="120" t="s">
        <v>63</v>
      </c>
      <c r="C39" s="74">
        <f>C40</f>
        <v>0</v>
      </c>
      <c r="D39" s="74">
        <f>D40</f>
        <v>0</v>
      </c>
      <c r="E39" s="74">
        <f>E40</f>
        <v>0</v>
      </c>
    </row>
    <row r="40" spans="1:5" ht="25.5" hidden="1">
      <c r="A40" s="30" t="s">
        <v>64</v>
      </c>
      <c r="B40" s="31" t="s">
        <v>65</v>
      </c>
      <c r="C40" s="32">
        <v>0</v>
      </c>
      <c r="D40" s="32">
        <v>0</v>
      </c>
      <c r="E40" s="32">
        <f>C40+D40</f>
        <v>0</v>
      </c>
    </row>
    <row r="41" spans="1:5" ht="15" hidden="1">
      <c r="A41" s="121" t="s">
        <v>66</v>
      </c>
      <c r="B41" s="120" t="s">
        <v>67</v>
      </c>
      <c r="C41" s="74">
        <f>C44+C42+C43</f>
        <v>0</v>
      </c>
      <c r="D41" s="74">
        <f>D44+D42+D43</f>
        <v>0</v>
      </c>
      <c r="E41" s="74">
        <f>E44+E42+E43</f>
        <v>0</v>
      </c>
    </row>
    <row r="42" spans="1:5" ht="15.75" customHeight="1" hidden="1">
      <c r="A42" s="30" t="s">
        <v>68</v>
      </c>
      <c r="B42" s="31" t="s">
        <v>69</v>
      </c>
      <c r="C42" s="32">
        <v>0</v>
      </c>
      <c r="D42" s="32">
        <v>0</v>
      </c>
      <c r="E42" s="32">
        <f>C42+D42</f>
        <v>0</v>
      </c>
    </row>
    <row r="43" spans="1:5" ht="25.5" hidden="1">
      <c r="A43" s="30" t="s">
        <v>70</v>
      </c>
      <c r="B43" s="31" t="s">
        <v>71</v>
      </c>
      <c r="C43" s="32">
        <v>0</v>
      </c>
      <c r="D43" s="32">
        <v>0</v>
      </c>
      <c r="E43" s="32">
        <f>C43+D43</f>
        <v>0</v>
      </c>
    </row>
    <row r="44" spans="1:5" ht="31.5" customHeight="1" hidden="1">
      <c r="A44" s="30" t="s">
        <v>72</v>
      </c>
      <c r="B44" s="31" t="s">
        <v>73</v>
      </c>
      <c r="C44" s="32">
        <v>0</v>
      </c>
      <c r="D44" s="32">
        <v>0</v>
      </c>
      <c r="E44" s="32">
        <f>C44+D44</f>
        <v>0</v>
      </c>
    </row>
    <row r="45" spans="1:5" ht="42.75" customHeight="1">
      <c r="A45" s="15" t="s">
        <v>74</v>
      </c>
      <c r="B45" s="16" t="s">
        <v>75</v>
      </c>
      <c r="C45" s="17">
        <f>SUM(C46:C48)</f>
        <v>104887</v>
      </c>
      <c r="D45" s="17">
        <f>SUM(D46:D48)</f>
        <v>0</v>
      </c>
      <c r="E45" s="17">
        <f>SUM(E46:E48)</f>
        <v>104887</v>
      </c>
    </row>
    <row r="46" spans="1:5" ht="15" customHeight="1">
      <c r="A46" s="21" t="s">
        <v>76</v>
      </c>
      <c r="B46" s="22" t="s">
        <v>77</v>
      </c>
      <c r="C46" s="23">
        <v>87054</v>
      </c>
      <c r="D46" s="23">
        <v>0</v>
      </c>
      <c r="E46" s="23">
        <f>C46+D46</f>
        <v>87054</v>
      </c>
    </row>
    <row r="47" spans="1:5" ht="15">
      <c r="A47" s="21" t="s">
        <v>78</v>
      </c>
      <c r="B47" s="22" t="s">
        <v>79</v>
      </c>
      <c r="C47" s="23">
        <v>17833</v>
      </c>
      <c r="D47" s="23">
        <v>0</v>
      </c>
      <c r="E47" s="23">
        <f>C47+D47</f>
        <v>17833</v>
      </c>
    </row>
    <row r="48" spans="1:5" ht="30" customHeight="1" hidden="1">
      <c r="A48" s="30" t="s">
        <v>80</v>
      </c>
      <c r="B48" s="31" t="s">
        <v>81</v>
      </c>
      <c r="C48" s="32">
        <v>0</v>
      </c>
      <c r="D48" s="32">
        <v>0</v>
      </c>
      <c r="E48" s="32">
        <f>C48+D48</f>
        <v>0</v>
      </c>
    </row>
    <row r="49" spans="1:5" ht="15">
      <c r="A49" s="33"/>
      <c r="B49" s="13" t="s">
        <v>82</v>
      </c>
      <c r="C49" s="34">
        <f>C52+C57+C50</f>
        <v>42694617</v>
      </c>
      <c r="D49" s="34">
        <f>D52+D57+D50</f>
        <v>82416</v>
      </c>
      <c r="E49" s="34">
        <f>E52+E57+E50</f>
        <v>42777033</v>
      </c>
    </row>
    <row r="50" spans="1:5" s="108" customFormat="1" ht="26.25" customHeight="1">
      <c r="A50" s="35" t="s">
        <v>83</v>
      </c>
      <c r="B50" s="36" t="s">
        <v>84</v>
      </c>
      <c r="C50" s="37">
        <f>C51</f>
        <v>246806</v>
      </c>
      <c r="D50" s="28">
        <f>D51</f>
        <v>0</v>
      </c>
      <c r="E50" s="28">
        <f>E51</f>
        <v>246806</v>
      </c>
    </row>
    <row r="51" spans="1:5" s="108" customFormat="1" ht="39" customHeight="1">
      <c r="A51" s="38" t="s">
        <v>85</v>
      </c>
      <c r="B51" s="39" t="s">
        <v>86</v>
      </c>
      <c r="C51" s="40">
        <f>235006+4800+7000</f>
        <v>246806</v>
      </c>
      <c r="D51" s="20">
        <v>0</v>
      </c>
      <c r="E51" s="20">
        <f>C51+D51</f>
        <v>246806</v>
      </c>
    </row>
    <row r="52" spans="1:5" ht="15">
      <c r="A52" s="15" t="s">
        <v>87</v>
      </c>
      <c r="B52" s="16" t="s">
        <v>88</v>
      </c>
      <c r="C52" s="17">
        <f>C53</f>
        <v>41758952</v>
      </c>
      <c r="D52" s="17">
        <f>D53</f>
        <v>82416</v>
      </c>
      <c r="E52" s="17">
        <f>E53</f>
        <v>41841368</v>
      </c>
    </row>
    <row r="53" spans="1:5" ht="15">
      <c r="A53" s="24" t="s">
        <v>89</v>
      </c>
      <c r="B53" s="16" t="s">
        <v>90</v>
      </c>
      <c r="C53" s="17">
        <f>SUM(C54:C56)</f>
        <v>41758952</v>
      </c>
      <c r="D53" s="28">
        <f>SUM(D54:D56)</f>
        <v>82416</v>
      </c>
      <c r="E53" s="17">
        <f>SUM(E54:E56)</f>
        <v>41841368</v>
      </c>
    </row>
    <row r="54" spans="1:5" ht="15">
      <c r="A54" s="21" t="s">
        <v>91</v>
      </c>
      <c r="B54" s="22" t="s">
        <v>92</v>
      </c>
      <c r="C54" s="23">
        <f>13004466+764820+1043241+4692542</f>
        <v>19505069</v>
      </c>
      <c r="D54" s="20">
        <f>7466+8272</f>
        <v>15738</v>
      </c>
      <c r="E54" s="23">
        <f>C54+D54</f>
        <v>19520807</v>
      </c>
    </row>
    <row r="55" spans="1:5" ht="65.25" customHeight="1">
      <c r="A55" s="21" t="s">
        <v>93</v>
      </c>
      <c r="B55" s="22" t="s">
        <v>94</v>
      </c>
      <c r="C55" s="23">
        <f>12966527+112513+90009+205626</f>
        <v>13374675</v>
      </c>
      <c r="D55" s="20">
        <v>66678</v>
      </c>
      <c r="E55" s="23">
        <f>C55+D55</f>
        <v>13441353</v>
      </c>
    </row>
    <row r="56" spans="1:5" ht="27.75" customHeight="1">
      <c r="A56" s="21" t="s">
        <v>95</v>
      </c>
      <c r="B56" s="22" t="s">
        <v>96</v>
      </c>
      <c r="C56" s="23">
        <v>8879208</v>
      </c>
      <c r="D56" s="20">
        <v>0</v>
      </c>
      <c r="E56" s="23">
        <f>C56+D56</f>
        <v>8879208</v>
      </c>
    </row>
    <row r="57" spans="1:5" ht="15">
      <c r="A57" s="15" t="s">
        <v>97</v>
      </c>
      <c r="B57" s="16" t="s">
        <v>98</v>
      </c>
      <c r="C57" s="17">
        <f>C58</f>
        <v>688859</v>
      </c>
      <c r="D57" s="28">
        <f>D58</f>
        <v>0</v>
      </c>
      <c r="E57" s="17">
        <f>E58</f>
        <v>688859</v>
      </c>
    </row>
    <row r="58" spans="1:5" ht="25.5">
      <c r="A58" s="21" t="s">
        <v>99</v>
      </c>
      <c r="B58" s="22" t="s">
        <v>100</v>
      </c>
      <c r="C58" s="23">
        <v>688859</v>
      </c>
      <c r="D58" s="20">
        <v>0</v>
      </c>
      <c r="E58" s="23">
        <f>C58+D58</f>
        <v>688859</v>
      </c>
    </row>
    <row r="59" spans="1:5" ht="28.5">
      <c r="A59" s="12"/>
      <c r="B59" s="13" t="s">
        <v>101</v>
      </c>
      <c r="C59" s="14">
        <f>C60</f>
        <v>1441732</v>
      </c>
      <c r="D59" s="14">
        <f>D60</f>
        <v>4485</v>
      </c>
      <c r="E59" s="14">
        <f>E60</f>
        <v>1446217</v>
      </c>
    </row>
    <row r="60" spans="1:5" ht="15">
      <c r="A60" s="15" t="s">
        <v>102</v>
      </c>
      <c r="B60" s="16" t="s">
        <v>103</v>
      </c>
      <c r="C60" s="17">
        <f>C61+C66+C84</f>
        <v>1441732</v>
      </c>
      <c r="D60" s="17">
        <f>D61+D66+D84</f>
        <v>4485</v>
      </c>
      <c r="E60" s="17">
        <f>E61+E66+E84</f>
        <v>1446217</v>
      </c>
    </row>
    <row r="61" spans="1:5" ht="15" customHeight="1">
      <c r="A61" s="29" t="s">
        <v>104</v>
      </c>
      <c r="B61" s="27" t="s">
        <v>105</v>
      </c>
      <c r="C61" s="28">
        <f>C62+C65+C63+C64</f>
        <v>131411</v>
      </c>
      <c r="D61" s="28">
        <f>D62+D65+D63+D64</f>
        <v>2040</v>
      </c>
      <c r="E61" s="28">
        <f>E62+E65+E63+E64</f>
        <v>133451</v>
      </c>
    </row>
    <row r="62" spans="1:5" ht="25.5" hidden="1">
      <c r="A62" s="30" t="s">
        <v>106</v>
      </c>
      <c r="B62" s="31" t="s">
        <v>746</v>
      </c>
      <c r="C62" s="32">
        <v>0</v>
      </c>
      <c r="D62" s="32">
        <v>0</v>
      </c>
      <c r="E62" s="32">
        <f>C62+D62</f>
        <v>0</v>
      </c>
    </row>
    <row r="63" spans="1:5" ht="64.5" hidden="1">
      <c r="A63" s="122" t="s">
        <v>107</v>
      </c>
      <c r="B63" s="123" t="s">
        <v>747</v>
      </c>
      <c r="C63" s="32">
        <v>0</v>
      </c>
      <c r="D63" s="32">
        <v>0</v>
      </c>
      <c r="E63" s="32">
        <f>C63+D63</f>
        <v>0</v>
      </c>
    </row>
    <row r="64" spans="1:5" ht="77.25">
      <c r="A64" s="41" t="s">
        <v>893</v>
      </c>
      <c r="B64" s="358" t="s">
        <v>894</v>
      </c>
      <c r="C64" s="20">
        <f>246</f>
        <v>246</v>
      </c>
      <c r="D64" s="20">
        <v>0</v>
      </c>
      <c r="E64" s="20">
        <f>C64+D64</f>
        <v>246</v>
      </c>
    </row>
    <row r="65" spans="1:5" ht="38.25">
      <c r="A65" s="18" t="s">
        <v>108</v>
      </c>
      <c r="B65" s="19" t="s">
        <v>109</v>
      </c>
      <c r="C65" s="20">
        <f>13351+106534+2200+9080</f>
        <v>131165</v>
      </c>
      <c r="D65" s="20">
        <v>2040</v>
      </c>
      <c r="E65" s="20">
        <f>C65+D65</f>
        <v>133205</v>
      </c>
    </row>
    <row r="66" spans="1:5" ht="25.5">
      <c r="A66" s="24" t="s">
        <v>110</v>
      </c>
      <c r="B66" s="16" t="s">
        <v>111</v>
      </c>
      <c r="C66" s="28">
        <f>C67+C68+C71+C73+C78</f>
        <v>1222691</v>
      </c>
      <c r="D66" s="28">
        <f>D67+D68+D71+D73+D78</f>
        <v>0</v>
      </c>
      <c r="E66" s="28">
        <f>E67+E68+E71+E73+E78</f>
        <v>1222691</v>
      </c>
    </row>
    <row r="67" spans="1:5" ht="56.25" customHeight="1" hidden="1">
      <c r="A67" s="30" t="s">
        <v>112</v>
      </c>
      <c r="B67" s="31" t="s">
        <v>113</v>
      </c>
      <c r="C67" s="32">
        <v>0</v>
      </c>
      <c r="D67" s="32">
        <v>0</v>
      </c>
      <c r="E67" s="32">
        <f>C67+D67</f>
        <v>0</v>
      </c>
    </row>
    <row r="68" spans="1:5" ht="15">
      <c r="A68" s="24" t="s">
        <v>114</v>
      </c>
      <c r="B68" s="42" t="s">
        <v>115</v>
      </c>
      <c r="C68" s="17">
        <f>SUM(C69:C70)</f>
        <v>324076</v>
      </c>
      <c r="D68" s="17">
        <f>SUM(D69:D70)</f>
        <v>0</v>
      </c>
      <c r="E68" s="17">
        <f>SUM(E69:E70)</f>
        <v>324076</v>
      </c>
    </row>
    <row r="69" spans="1:5" ht="15">
      <c r="A69" s="21" t="s">
        <v>116</v>
      </c>
      <c r="B69" s="22" t="s">
        <v>117</v>
      </c>
      <c r="C69" s="23">
        <f>116938-9000+5400</f>
        <v>113338</v>
      </c>
      <c r="D69" s="20">
        <v>0</v>
      </c>
      <c r="E69" s="23">
        <f>C69+D69</f>
        <v>113338</v>
      </c>
    </row>
    <row r="70" spans="1:5" ht="15">
      <c r="A70" s="21" t="s">
        <v>118</v>
      </c>
      <c r="B70" s="22" t="s">
        <v>119</v>
      </c>
      <c r="C70" s="23">
        <f>170355+40383</f>
        <v>210738</v>
      </c>
      <c r="D70" s="20">
        <v>0</v>
      </c>
      <c r="E70" s="23">
        <f>C70+D70</f>
        <v>210738</v>
      </c>
    </row>
    <row r="71" spans="1:5" ht="25.5">
      <c r="A71" s="24" t="s">
        <v>120</v>
      </c>
      <c r="B71" s="42" t="s">
        <v>121</v>
      </c>
      <c r="C71" s="17">
        <f>C72</f>
        <v>800</v>
      </c>
      <c r="D71" s="17">
        <f>D72</f>
        <v>0</v>
      </c>
      <c r="E71" s="17">
        <f>E72</f>
        <v>800</v>
      </c>
    </row>
    <row r="72" spans="1:5" ht="25.5">
      <c r="A72" s="21" t="s">
        <v>122</v>
      </c>
      <c r="B72" s="22" t="s">
        <v>123</v>
      </c>
      <c r="C72" s="23">
        <v>800</v>
      </c>
      <c r="D72" s="20">
        <v>0</v>
      </c>
      <c r="E72" s="23">
        <f aca="true" t="shared" si="1" ref="E72:E83">C72+D72</f>
        <v>800</v>
      </c>
    </row>
    <row r="73" spans="1:5" ht="15">
      <c r="A73" s="24" t="s">
        <v>124</v>
      </c>
      <c r="B73" s="42" t="s">
        <v>125</v>
      </c>
      <c r="C73" s="17">
        <f>SUM(C74:C77)</f>
        <v>478953</v>
      </c>
      <c r="D73" s="17">
        <f>SUM(D74:D77)</f>
        <v>0</v>
      </c>
      <c r="E73" s="17">
        <f>SUM(E74:E77)</f>
        <v>478953</v>
      </c>
    </row>
    <row r="74" spans="1:5" ht="25.5">
      <c r="A74" s="21" t="s">
        <v>909</v>
      </c>
      <c r="B74" s="22" t="s">
        <v>748</v>
      </c>
      <c r="C74" s="23">
        <v>297772</v>
      </c>
      <c r="D74" s="20">
        <v>0</v>
      </c>
      <c r="E74" s="23">
        <f>C74+D74</f>
        <v>297772</v>
      </c>
    </row>
    <row r="75" spans="1:5" ht="15">
      <c r="A75" s="21" t="s">
        <v>126</v>
      </c>
      <c r="B75" s="22" t="s">
        <v>127</v>
      </c>
      <c r="C75" s="23">
        <v>42836</v>
      </c>
      <c r="D75" s="20">
        <v>0</v>
      </c>
      <c r="E75" s="23">
        <f>C75+D75</f>
        <v>42836</v>
      </c>
    </row>
    <row r="76" spans="1:5" ht="15">
      <c r="A76" s="21" t="s">
        <v>128</v>
      </c>
      <c r="B76" s="22" t="s">
        <v>129</v>
      </c>
      <c r="C76" s="23">
        <v>60344</v>
      </c>
      <c r="D76" s="20">
        <v>0</v>
      </c>
      <c r="E76" s="23">
        <f>C76+D76</f>
        <v>60344</v>
      </c>
    </row>
    <row r="77" spans="1:5" ht="15">
      <c r="A77" s="21" t="s">
        <v>130</v>
      </c>
      <c r="B77" s="22" t="s">
        <v>131</v>
      </c>
      <c r="C77" s="23">
        <f>68001+10000</f>
        <v>78001</v>
      </c>
      <c r="D77" s="20">
        <v>0</v>
      </c>
      <c r="E77" s="23">
        <f>C77+D77</f>
        <v>78001</v>
      </c>
    </row>
    <row r="78" spans="1:5" ht="25.5">
      <c r="A78" s="24" t="s">
        <v>132</v>
      </c>
      <c r="B78" s="42" t="s">
        <v>133</v>
      </c>
      <c r="C78" s="17">
        <f>SUM(C79:C83)</f>
        <v>418862</v>
      </c>
      <c r="D78" s="17">
        <f>SUM(D79:D83)</f>
        <v>0</v>
      </c>
      <c r="E78" s="17">
        <f>SUM(E79:E83)</f>
        <v>418862</v>
      </c>
    </row>
    <row r="79" spans="1:5" ht="25.5">
      <c r="A79" s="21" t="s">
        <v>134</v>
      </c>
      <c r="B79" s="22" t="s">
        <v>135</v>
      </c>
      <c r="C79" s="23">
        <v>15150</v>
      </c>
      <c r="D79" s="20">
        <v>0</v>
      </c>
      <c r="E79" s="23">
        <f t="shared" si="1"/>
        <v>15150</v>
      </c>
    </row>
    <row r="80" spans="1:5" ht="15">
      <c r="A80" s="21" t="s">
        <v>136</v>
      </c>
      <c r="B80" s="22" t="s">
        <v>137</v>
      </c>
      <c r="C80" s="23">
        <v>165400</v>
      </c>
      <c r="D80" s="20">
        <v>0</v>
      </c>
      <c r="E80" s="23">
        <f t="shared" si="1"/>
        <v>165400</v>
      </c>
    </row>
    <row r="81" spans="1:5" ht="15" hidden="1">
      <c r="A81" s="30" t="s">
        <v>138</v>
      </c>
      <c r="B81" s="31" t="s">
        <v>139</v>
      </c>
      <c r="C81" s="32">
        <v>0</v>
      </c>
      <c r="D81" s="32">
        <v>0</v>
      </c>
      <c r="E81" s="32">
        <f t="shared" si="1"/>
        <v>0</v>
      </c>
    </row>
    <row r="82" spans="1:5" ht="15">
      <c r="A82" s="21" t="s">
        <v>140</v>
      </c>
      <c r="B82" s="22" t="s">
        <v>141</v>
      </c>
      <c r="C82" s="23">
        <f>20327+9000+7357</f>
        <v>36684</v>
      </c>
      <c r="D82" s="20">
        <v>0</v>
      </c>
      <c r="E82" s="23">
        <f t="shared" si="1"/>
        <v>36684</v>
      </c>
    </row>
    <row r="83" spans="1:5" ht="15">
      <c r="A83" s="21" t="s">
        <v>142</v>
      </c>
      <c r="B83" s="22" t="s">
        <v>143</v>
      </c>
      <c r="C83" s="23">
        <f>221128-9500-10000</f>
        <v>201628</v>
      </c>
      <c r="D83" s="20">
        <v>0</v>
      </c>
      <c r="E83" s="23">
        <f t="shared" si="1"/>
        <v>201628</v>
      </c>
    </row>
    <row r="84" spans="1:5" ht="42" customHeight="1">
      <c r="A84" s="24" t="s">
        <v>144</v>
      </c>
      <c r="B84" s="16" t="s">
        <v>145</v>
      </c>
      <c r="C84" s="17">
        <f>C85+C86</f>
        <v>87630</v>
      </c>
      <c r="D84" s="17">
        <f>D85+D86</f>
        <v>2445</v>
      </c>
      <c r="E84" s="17">
        <f>E85+E86</f>
        <v>90075</v>
      </c>
    </row>
    <row r="85" spans="1:5" ht="15">
      <c r="A85" s="18" t="s">
        <v>889</v>
      </c>
      <c r="B85" s="19" t="s">
        <v>890</v>
      </c>
      <c r="C85" s="20">
        <f>10000</f>
        <v>10000</v>
      </c>
      <c r="D85" s="20">
        <v>0</v>
      </c>
      <c r="E85" s="20">
        <f>C85+D85</f>
        <v>10000</v>
      </c>
    </row>
    <row r="86" spans="1:5" ht="15">
      <c r="A86" s="21" t="s">
        <v>749</v>
      </c>
      <c r="B86" s="22" t="s">
        <v>750</v>
      </c>
      <c r="C86" s="23">
        <f>51050+26580</f>
        <v>77630</v>
      </c>
      <c r="D86" s="20">
        <v>2445</v>
      </c>
      <c r="E86" s="23">
        <f>C86+D86</f>
        <v>80075</v>
      </c>
    </row>
    <row r="87" spans="1:5" ht="15.75">
      <c r="A87" s="9"/>
      <c r="B87" s="10" t="s">
        <v>146</v>
      </c>
      <c r="C87" s="11">
        <f>C88+C89</f>
        <v>18479706</v>
      </c>
      <c r="D87" s="11">
        <f>D88+D89</f>
        <v>0</v>
      </c>
      <c r="E87" s="11">
        <f>E88+E89</f>
        <v>18479706</v>
      </c>
    </row>
    <row r="88" spans="1:5" ht="15">
      <c r="A88" s="43" t="s">
        <v>147</v>
      </c>
      <c r="B88" s="44" t="s">
        <v>148</v>
      </c>
      <c r="C88" s="23">
        <v>8832212</v>
      </c>
      <c r="D88" s="23">
        <v>0</v>
      </c>
      <c r="E88" s="23">
        <f>C88+D88</f>
        <v>8832212</v>
      </c>
    </row>
    <row r="89" spans="1:5" ht="15">
      <c r="A89" s="43" t="s">
        <v>149</v>
      </c>
      <c r="B89" s="44" t="s">
        <v>150</v>
      </c>
      <c r="C89" s="23">
        <f>14176730+1311015+527986-6368237</f>
        <v>9647494</v>
      </c>
      <c r="D89" s="20">
        <v>0</v>
      </c>
      <c r="E89" s="23">
        <f>C89+D89</f>
        <v>9647494</v>
      </c>
    </row>
    <row r="90" spans="1:5" ht="15.75">
      <c r="A90" s="45"/>
      <c r="B90" s="10" t="s">
        <v>151</v>
      </c>
      <c r="C90" s="11">
        <f>C9+C87</f>
        <v>103710751</v>
      </c>
      <c r="D90" s="11">
        <f>D9+D87</f>
        <v>86901</v>
      </c>
      <c r="E90" s="11">
        <f>E9+E87</f>
        <v>103797652</v>
      </c>
    </row>
    <row r="91" ht="15">
      <c r="E91" s="107"/>
    </row>
    <row r="93" spans="1:5" ht="18.75">
      <c r="A93" s="124" t="s">
        <v>152</v>
      </c>
      <c r="B93" s="125"/>
      <c r="C93" s="126"/>
      <c r="D93" s="126"/>
      <c r="E93" s="126" t="s">
        <v>153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11.140625" style="6" customWidth="1"/>
    <col min="2" max="2" width="44.8515625" style="6" customWidth="1"/>
    <col min="3" max="3" width="16.140625" style="6" customWidth="1"/>
    <col min="4" max="4" width="15.28125" style="6" customWidth="1"/>
    <col min="5" max="5" width="14.00390625" style="6" customWidth="1"/>
    <col min="6" max="6" width="14.421875" style="6" customWidth="1"/>
    <col min="7" max="7" width="13.8515625" style="6" customWidth="1"/>
    <col min="8" max="8" width="15.421875" style="6" customWidth="1"/>
    <col min="9" max="16384" width="9.140625" style="6" customWidth="1"/>
  </cols>
  <sheetData>
    <row r="1" spans="1:10" ht="15">
      <c r="A1" s="3" t="s">
        <v>0</v>
      </c>
      <c r="F1" s="3"/>
      <c r="G1" s="405" t="s">
        <v>154</v>
      </c>
      <c r="H1" s="405"/>
      <c r="J1" s="106"/>
    </row>
    <row r="2" spans="6:10" ht="15">
      <c r="F2" s="405" t="s">
        <v>917</v>
      </c>
      <c r="G2" s="405"/>
      <c r="H2" s="405"/>
      <c r="I2" s="109"/>
      <c r="J2" s="106"/>
    </row>
    <row r="3" spans="6:10" ht="15">
      <c r="F3" s="3"/>
      <c r="G3" s="3"/>
      <c r="H3" s="382" t="s">
        <v>919</v>
      </c>
      <c r="I3" s="110"/>
      <c r="J3" s="110"/>
    </row>
    <row r="5" spans="1:8" ht="18.75">
      <c r="A5" s="406" t="s">
        <v>829</v>
      </c>
      <c r="B5" s="406"/>
      <c r="C5" s="406"/>
      <c r="D5" s="406"/>
      <c r="E5" s="406"/>
      <c r="F5" s="406"/>
      <c r="G5" s="406"/>
      <c r="H5" s="406"/>
    </row>
    <row r="6" spans="1:8" ht="15">
      <c r="A6" s="407" t="s">
        <v>155</v>
      </c>
      <c r="B6" s="407"/>
      <c r="C6" s="407"/>
      <c r="D6" s="407"/>
      <c r="E6" s="407"/>
      <c r="F6" s="407"/>
      <c r="G6" s="407"/>
      <c r="H6" s="407"/>
    </row>
    <row r="7" ht="15">
      <c r="H7" s="7" t="s">
        <v>3</v>
      </c>
    </row>
    <row r="8" spans="1:8" s="111" customFormat="1" ht="15" customHeight="1">
      <c r="A8" s="408" t="s">
        <v>4</v>
      </c>
      <c r="B8" s="408" t="s">
        <v>156</v>
      </c>
      <c r="C8" s="408" t="s">
        <v>743</v>
      </c>
      <c r="D8" s="409" t="s">
        <v>157</v>
      </c>
      <c r="E8" s="409"/>
      <c r="F8" s="409"/>
      <c r="G8" s="409"/>
      <c r="H8" s="408" t="s">
        <v>898</v>
      </c>
    </row>
    <row r="9" spans="1:8" s="111" customFormat="1" ht="42.75">
      <c r="A9" s="408"/>
      <c r="B9" s="408"/>
      <c r="C9" s="408"/>
      <c r="D9" s="46" t="s">
        <v>158</v>
      </c>
      <c r="E9" s="46" t="s">
        <v>159</v>
      </c>
      <c r="F9" s="46" t="s">
        <v>88</v>
      </c>
      <c r="G9" s="46" t="s">
        <v>160</v>
      </c>
      <c r="H9" s="408"/>
    </row>
    <row r="10" spans="1:8" ht="37.5">
      <c r="A10" s="47"/>
      <c r="B10" s="48" t="s">
        <v>161</v>
      </c>
      <c r="C10" s="49">
        <f>SUM(C11:C19)</f>
        <v>93985452</v>
      </c>
      <c r="D10" s="49">
        <f>SUM(D11:D19)</f>
        <v>45624</v>
      </c>
      <c r="E10" s="49">
        <f>SUM(E11:E19)</f>
        <v>4485</v>
      </c>
      <c r="F10" s="49">
        <f>SUM(F11:F19)</f>
        <v>81843</v>
      </c>
      <c r="G10" s="49">
        <f>SUM(G11:G19)</f>
        <v>0</v>
      </c>
      <c r="H10" s="49">
        <f>C10+D10+E10+F10+G10</f>
        <v>94117404</v>
      </c>
    </row>
    <row r="11" spans="1:8" ht="15">
      <c r="A11" s="50" t="s">
        <v>162</v>
      </c>
      <c r="B11" s="51" t="s">
        <v>163</v>
      </c>
      <c r="C11" s="52">
        <f>8696826</f>
        <v>8696826</v>
      </c>
      <c r="D11" s="53">
        <f>'3.pielikums'!E12</f>
        <v>43516</v>
      </c>
      <c r="E11" s="53">
        <f>'3.pielikums'!G12</f>
        <v>0</v>
      </c>
      <c r="F11" s="53">
        <f>'3.pielikums'!I12</f>
        <v>0</v>
      </c>
      <c r="G11" s="53">
        <f>'3.pielikums'!K12</f>
        <v>0</v>
      </c>
      <c r="H11" s="54">
        <f aca="true" t="shared" si="0" ref="H11:H29">C11+D11+E11+F11+G11</f>
        <v>8740342</v>
      </c>
    </row>
    <row r="12" spans="1:8" ht="15">
      <c r="A12" s="50" t="s">
        <v>164</v>
      </c>
      <c r="B12" s="51" t="s">
        <v>165</v>
      </c>
      <c r="C12" s="52">
        <v>4288253</v>
      </c>
      <c r="D12" s="53">
        <f>'3.pielikums'!E34</f>
        <v>0</v>
      </c>
      <c r="E12" s="53">
        <f>'3.pielikums'!G34</f>
        <v>0</v>
      </c>
      <c r="F12" s="53">
        <f>'3.pielikums'!I34</f>
        <v>7466</v>
      </c>
      <c r="G12" s="53">
        <f>'3.pielikums'!K34</f>
        <v>0</v>
      </c>
      <c r="H12" s="54">
        <f t="shared" si="0"/>
        <v>4295719</v>
      </c>
    </row>
    <row r="13" spans="1:8" ht="15">
      <c r="A13" s="50" t="s">
        <v>166</v>
      </c>
      <c r="B13" s="51" t="s">
        <v>167</v>
      </c>
      <c r="C13" s="52">
        <v>14193363</v>
      </c>
      <c r="D13" s="53">
        <f>'3.pielikums'!E41</f>
        <v>0</v>
      </c>
      <c r="E13" s="53">
        <f>'3.pielikums'!G41</f>
        <v>0</v>
      </c>
      <c r="F13" s="53">
        <f>'3.pielikums'!I41</f>
        <v>0</v>
      </c>
      <c r="G13" s="53">
        <f>'3.pielikums'!K41</f>
        <v>0</v>
      </c>
      <c r="H13" s="54">
        <f t="shared" si="0"/>
        <v>14193363</v>
      </c>
    </row>
    <row r="14" spans="1:8" ht="15">
      <c r="A14" s="50" t="s">
        <v>168</v>
      </c>
      <c r="B14" s="51" t="s">
        <v>169</v>
      </c>
      <c r="C14" s="52">
        <v>4855740</v>
      </c>
      <c r="D14" s="53">
        <f>'3.pielikums'!E60</f>
        <v>0</v>
      </c>
      <c r="E14" s="53">
        <f>'3.pielikums'!G60</f>
        <v>0</v>
      </c>
      <c r="F14" s="53">
        <f>'3.pielikums'!I60</f>
        <v>0</v>
      </c>
      <c r="G14" s="53">
        <f>'3.pielikums'!K60</f>
        <v>0</v>
      </c>
      <c r="H14" s="54">
        <f t="shared" si="0"/>
        <v>4855740</v>
      </c>
    </row>
    <row r="15" spans="1:8" ht="15">
      <c r="A15" s="50" t="s">
        <v>170</v>
      </c>
      <c r="B15" s="51" t="s">
        <v>171</v>
      </c>
      <c r="C15" s="52">
        <v>6173990</v>
      </c>
      <c r="D15" s="53">
        <f>'3.pielikums'!E72</f>
        <v>-16210</v>
      </c>
      <c r="E15" s="53">
        <f>'3.pielikums'!G72</f>
        <v>2000</v>
      </c>
      <c r="F15" s="53">
        <f>'3.pielikums'!I72</f>
        <v>0</v>
      </c>
      <c r="G15" s="53">
        <f>'3.pielikums'!K72</f>
        <v>0</v>
      </c>
      <c r="H15" s="54">
        <f t="shared" si="0"/>
        <v>6159780</v>
      </c>
    </row>
    <row r="16" spans="1:8" ht="15">
      <c r="A16" s="50" t="s">
        <v>172</v>
      </c>
      <c r="B16" s="51" t="s">
        <v>173</v>
      </c>
      <c r="C16" s="52">
        <v>252084</v>
      </c>
      <c r="D16" s="53">
        <f>'3.pielikums'!E88</f>
        <v>11818</v>
      </c>
      <c r="E16" s="53">
        <f>'3.pielikums'!G88</f>
        <v>0</v>
      </c>
      <c r="F16" s="53">
        <f>'3.pielikums'!I88</f>
        <v>0</v>
      </c>
      <c r="G16" s="53">
        <f>'3.pielikums'!K88</f>
        <v>0</v>
      </c>
      <c r="H16" s="54">
        <f t="shared" si="0"/>
        <v>263902</v>
      </c>
    </row>
    <row r="17" spans="1:8" ht="15">
      <c r="A17" s="50" t="s">
        <v>174</v>
      </c>
      <c r="B17" s="51" t="s">
        <v>175</v>
      </c>
      <c r="C17" s="52">
        <v>6257096</v>
      </c>
      <c r="D17" s="53">
        <f>'3.pielikums'!E95</f>
        <v>8500</v>
      </c>
      <c r="E17" s="53">
        <f>'3.pielikums'!G95</f>
        <v>0</v>
      </c>
      <c r="F17" s="53">
        <f>'3.pielikums'!I95</f>
        <v>0</v>
      </c>
      <c r="G17" s="53">
        <f>'3.pielikums'!K95</f>
        <v>0</v>
      </c>
      <c r="H17" s="54">
        <f t="shared" si="0"/>
        <v>6265596</v>
      </c>
    </row>
    <row r="18" spans="1:8" ht="15">
      <c r="A18" s="50" t="s">
        <v>26</v>
      </c>
      <c r="B18" s="51" t="s">
        <v>176</v>
      </c>
      <c r="C18" s="52">
        <v>41742365</v>
      </c>
      <c r="D18" s="53">
        <f>'3.pielikums'!E122</f>
        <v>39736</v>
      </c>
      <c r="E18" s="53">
        <f>'3.pielikums'!G122</f>
        <v>2040</v>
      </c>
      <c r="F18" s="53">
        <f>'3.pielikums'!I122</f>
        <v>74377</v>
      </c>
      <c r="G18" s="53">
        <f>'3.pielikums'!K122</f>
        <v>0</v>
      </c>
      <c r="H18" s="54">
        <f t="shared" si="0"/>
        <v>41858518</v>
      </c>
    </row>
    <row r="19" spans="1:8" ht="15">
      <c r="A19" s="50" t="s">
        <v>52</v>
      </c>
      <c r="B19" s="51" t="s">
        <v>177</v>
      </c>
      <c r="C19" s="52">
        <v>7525735</v>
      </c>
      <c r="D19" s="53">
        <f>'3.pielikums'!E157</f>
        <v>-41736</v>
      </c>
      <c r="E19" s="53">
        <f>'3.pielikums'!G157</f>
        <v>445</v>
      </c>
      <c r="F19" s="53">
        <f>'3.pielikums'!I157</f>
        <v>0</v>
      </c>
      <c r="G19" s="53">
        <f>'3.pielikums'!K157</f>
        <v>0</v>
      </c>
      <c r="H19" s="54">
        <f t="shared" si="0"/>
        <v>7484444</v>
      </c>
    </row>
    <row r="20" spans="1:8" ht="18.75">
      <c r="A20" s="55"/>
      <c r="B20" s="56" t="s">
        <v>178</v>
      </c>
      <c r="C20" s="49">
        <f>C21+C22+C28</f>
        <v>9725299</v>
      </c>
      <c r="D20" s="49">
        <f>D21+D22+D28</f>
        <v>-45624</v>
      </c>
      <c r="E20" s="49">
        <f>E21+E22+E28</f>
        <v>0</v>
      </c>
      <c r="F20" s="49">
        <f>F21+F22+F28</f>
        <v>573</v>
      </c>
      <c r="G20" s="49">
        <f>G21+G22+G28</f>
        <v>0</v>
      </c>
      <c r="H20" s="49">
        <f t="shared" si="0"/>
        <v>9680248</v>
      </c>
    </row>
    <row r="21" spans="1:8" ht="15">
      <c r="A21" s="50" t="s">
        <v>179</v>
      </c>
      <c r="B21" s="50" t="s">
        <v>180</v>
      </c>
      <c r="C21" s="52">
        <v>9172729</v>
      </c>
      <c r="D21" s="53">
        <f>'3.pielikums'!E190</f>
        <v>0</v>
      </c>
      <c r="E21" s="53">
        <f>'3.pielikums'!G190</f>
        <v>0</v>
      </c>
      <c r="F21" s="53">
        <f>'3.pielikums'!I190</f>
        <v>573</v>
      </c>
      <c r="G21" s="53">
        <f>'3.pielikums'!K190</f>
        <v>0</v>
      </c>
      <c r="H21" s="54">
        <f t="shared" si="0"/>
        <v>9173302</v>
      </c>
    </row>
    <row r="22" spans="1:8" ht="15">
      <c r="A22" s="50" t="s">
        <v>181</v>
      </c>
      <c r="B22" s="57" t="s">
        <v>182</v>
      </c>
      <c r="C22" s="52">
        <f>SUM(C23:C27)</f>
        <v>364696</v>
      </c>
      <c r="D22" s="53">
        <f>SUM(D23:D27)</f>
        <v>0</v>
      </c>
      <c r="E22" s="53">
        <f>SUM(E23:E27)</f>
        <v>0</v>
      </c>
      <c r="F22" s="53">
        <f>SUM(F23:F27)</f>
        <v>0</v>
      </c>
      <c r="G22" s="53">
        <f>SUM(G23:G27)</f>
        <v>0</v>
      </c>
      <c r="H22" s="54">
        <f t="shared" si="0"/>
        <v>364696</v>
      </c>
    </row>
    <row r="23" spans="1:8" ht="15" hidden="1">
      <c r="A23" s="127"/>
      <c r="B23" s="128" t="s">
        <v>183</v>
      </c>
      <c r="C23" s="129">
        <v>0</v>
      </c>
      <c r="D23" s="138">
        <f>'3.pielikums'!E192</f>
        <v>0</v>
      </c>
      <c r="E23" s="138">
        <f>'3.pielikums'!G192</f>
        <v>0</v>
      </c>
      <c r="F23" s="138">
        <f>'3.pielikums'!I192</f>
        <v>0</v>
      </c>
      <c r="G23" s="138">
        <f>'3.pielikums'!K192</f>
        <v>0</v>
      </c>
      <c r="H23" s="138">
        <f t="shared" si="0"/>
        <v>0</v>
      </c>
    </row>
    <row r="24" spans="1:8" s="108" customFormat="1" ht="15">
      <c r="A24" s="360"/>
      <c r="B24" s="361" t="s">
        <v>184</v>
      </c>
      <c r="C24" s="362">
        <v>25000</v>
      </c>
      <c r="D24" s="61">
        <f>'3.pielikums'!E193</f>
        <v>0</v>
      </c>
      <c r="E24" s="61">
        <f>'3.pielikums'!G193</f>
        <v>0</v>
      </c>
      <c r="F24" s="61">
        <f>'3.pielikums'!I193</f>
        <v>0</v>
      </c>
      <c r="G24" s="61">
        <f>'3.pielikums'!K193</f>
        <v>0</v>
      </c>
      <c r="H24" s="61">
        <f t="shared" si="0"/>
        <v>25000</v>
      </c>
    </row>
    <row r="25" spans="1:8" ht="15">
      <c r="A25" s="50"/>
      <c r="B25" s="58" t="s">
        <v>185</v>
      </c>
      <c r="C25" s="59">
        <v>339696</v>
      </c>
      <c r="D25" s="60">
        <f>'3.pielikums'!E194</f>
        <v>0</v>
      </c>
      <c r="E25" s="60">
        <f>'3.pielikums'!G194</f>
        <v>0</v>
      </c>
      <c r="F25" s="60">
        <f>'3.pielikums'!I194</f>
        <v>0</v>
      </c>
      <c r="G25" s="60">
        <f>'3.pielikums'!K194</f>
        <v>0</v>
      </c>
      <c r="H25" s="61">
        <f t="shared" si="0"/>
        <v>339696</v>
      </c>
    </row>
    <row r="26" spans="1:8" ht="15" hidden="1">
      <c r="A26" s="127"/>
      <c r="B26" s="128" t="s">
        <v>186</v>
      </c>
      <c r="C26" s="129">
        <v>0</v>
      </c>
      <c r="D26" s="138">
        <f>'3.pielikums'!E195</f>
        <v>0</v>
      </c>
      <c r="E26" s="138">
        <f>'3.pielikums'!G195</f>
        <v>0</v>
      </c>
      <c r="F26" s="138">
        <f>'3.pielikums'!I195</f>
        <v>0</v>
      </c>
      <c r="G26" s="138">
        <f>'3.pielikums'!K195</f>
        <v>0</v>
      </c>
      <c r="H26" s="138">
        <f t="shared" si="0"/>
        <v>0</v>
      </c>
    </row>
    <row r="27" spans="1:8" ht="15" hidden="1">
      <c r="A27" s="127"/>
      <c r="B27" s="128" t="s">
        <v>187</v>
      </c>
      <c r="C27" s="129">
        <v>0</v>
      </c>
      <c r="D27" s="138">
        <f>'3.pielikums'!E196</f>
        <v>0</v>
      </c>
      <c r="E27" s="138">
        <f>'3.pielikums'!G196</f>
        <v>0</v>
      </c>
      <c r="F27" s="138">
        <f>'3.pielikums'!I196</f>
        <v>0</v>
      </c>
      <c r="G27" s="138">
        <f>'3.pielikums'!K196</f>
        <v>0</v>
      </c>
      <c r="H27" s="138">
        <f t="shared" si="0"/>
        <v>0</v>
      </c>
    </row>
    <row r="28" spans="1:8" ht="15">
      <c r="A28" s="50" t="s">
        <v>147</v>
      </c>
      <c r="B28" s="62" t="s">
        <v>188</v>
      </c>
      <c r="C28" s="52">
        <v>187874</v>
      </c>
      <c r="D28" s="53">
        <f>'3.pielikums'!E197</f>
        <v>-45624</v>
      </c>
      <c r="E28" s="53">
        <f>'3.pielikums'!G197</f>
        <v>0</v>
      </c>
      <c r="F28" s="53">
        <f>'3.pielikums'!I197</f>
        <v>0</v>
      </c>
      <c r="G28" s="53">
        <f>'3.pielikums'!K197</f>
        <v>0</v>
      </c>
      <c r="H28" s="54">
        <f t="shared" si="0"/>
        <v>142250</v>
      </c>
    </row>
    <row r="29" spans="1:8" ht="18.75">
      <c r="A29" s="63"/>
      <c r="B29" s="56" t="s">
        <v>189</v>
      </c>
      <c r="C29" s="49">
        <f>C10+C20</f>
        <v>103710751</v>
      </c>
      <c r="D29" s="49">
        <f>D10+D20</f>
        <v>0</v>
      </c>
      <c r="E29" s="49">
        <f>E10+E20</f>
        <v>4485</v>
      </c>
      <c r="F29" s="49">
        <f>F10+F20</f>
        <v>82416</v>
      </c>
      <c r="G29" s="49">
        <f>G10+G20</f>
        <v>0</v>
      </c>
      <c r="H29" s="49">
        <f t="shared" si="0"/>
        <v>103797652</v>
      </c>
    </row>
    <row r="31" spans="1:8" ht="18.75">
      <c r="A31" s="126" t="s">
        <v>152</v>
      </c>
      <c r="B31" s="3"/>
      <c r="C31" s="3"/>
      <c r="D31" s="3"/>
      <c r="E31" s="3"/>
      <c r="F31" s="3"/>
      <c r="G31" s="3"/>
      <c r="H31" s="126" t="s">
        <v>153</v>
      </c>
    </row>
    <row r="32" spans="1:8" ht="15">
      <c r="A32" s="3"/>
      <c r="B32" s="3"/>
      <c r="C32" s="3"/>
      <c r="D32" s="3"/>
      <c r="E32" s="3"/>
      <c r="F32" s="3"/>
      <c r="G32" s="3"/>
      <c r="H32" s="3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zoomScalePageLayoutView="0" workbookViewId="0" topLeftCell="A1">
      <pane ySplit="10" topLeftCell="A11" activePane="bottomLeft" state="frozen"/>
      <selection pane="topLeft" activeCell="E7" sqref="E7:E8"/>
      <selection pane="bottomLeft" activeCell="O4" sqref="O4"/>
    </sheetView>
  </sheetViews>
  <sheetFormatPr defaultColWidth="9.140625" defaultRowHeight="15"/>
  <cols>
    <col min="1" max="1" width="10.57421875" style="6" customWidth="1"/>
    <col min="2" max="2" width="30.57421875" style="112" customWidth="1"/>
    <col min="3" max="3" width="12.7109375" style="111" customWidth="1"/>
    <col min="4" max="4" width="11.8515625" style="6" customWidth="1"/>
    <col min="5" max="5" width="11.57421875" style="113" customWidth="1"/>
    <col min="6" max="6" width="10.140625" style="6" customWidth="1"/>
    <col min="7" max="7" width="10.8515625" style="113" customWidth="1"/>
    <col min="8" max="8" width="11.8515625" style="6" customWidth="1"/>
    <col min="9" max="9" width="11.421875" style="113" customWidth="1"/>
    <col min="10" max="10" width="10.8515625" style="6" customWidth="1"/>
    <col min="11" max="11" width="11.00390625" style="113" customWidth="1"/>
    <col min="12" max="12" width="11.140625" style="6" customWidth="1"/>
    <col min="13" max="16384" width="9.140625" style="6" customWidth="1"/>
  </cols>
  <sheetData>
    <row r="1" spans="1:12" ht="15">
      <c r="A1" s="3"/>
      <c r="B1" s="130"/>
      <c r="C1" s="131"/>
      <c r="D1" s="3"/>
      <c r="E1" s="64"/>
      <c r="F1" s="3"/>
      <c r="G1" s="64"/>
      <c r="H1" s="3"/>
      <c r="I1" s="64"/>
      <c r="J1" s="3"/>
      <c r="K1" s="405" t="s">
        <v>190</v>
      </c>
      <c r="L1" s="405"/>
    </row>
    <row r="2" spans="1:12" ht="15">
      <c r="A2" s="3"/>
      <c r="B2" s="130"/>
      <c r="C2" s="131"/>
      <c r="D2" s="3"/>
      <c r="E2" s="64"/>
      <c r="F2" s="3"/>
      <c r="G2" s="64"/>
      <c r="H2" s="405" t="s">
        <v>917</v>
      </c>
      <c r="I2" s="405"/>
      <c r="J2" s="405"/>
      <c r="K2" s="405"/>
      <c r="L2" s="405"/>
    </row>
    <row r="3" spans="1:12" ht="15">
      <c r="A3" s="3"/>
      <c r="B3" s="130"/>
      <c r="C3" s="131"/>
      <c r="D3" s="3"/>
      <c r="E3" s="64"/>
      <c r="F3" s="3"/>
      <c r="G3" s="64"/>
      <c r="H3" s="3"/>
      <c r="I3" s="64"/>
      <c r="J3" s="3"/>
      <c r="K3" s="64"/>
      <c r="L3" s="382" t="s">
        <v>918</v>
      </c>
    </row>
    <row r="4" spans="1:12" ht="15">
      <c r="A4" s="3"/>
      <c r="B4" s="130"/>
      <c r="C4" s="131"/>
      <c r="D4" s="3"/>
      <c r="E4" s="64"/>
      <c r="F4" s="3"/>
      <c r="G4" s="64"/>
      <c r="H4" s="3"/>
      <c r="I4" s="64"/>
      <c r="J4" s="3"/>
      <c r="K4" s="64"/>
      <c r="L4" s="3"/>
    </row>
    <row r="5" spans="1:12" ht="18.75">
      <c r="A5" s="406" t="s">
        <v>829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</row>
    <row r="6" spans="1:12" ht="15">
      <c r="A6" s="407" t="s">
        <v>191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</row>
    <row r="7" spans="1:12" ht="15">
      <c r="A7" s="3"/>
      <c r="B7" s="130"/>
      <c r="C7" s="131"/>
      <c r="D7" s="3"/>
      <c r="E7" s="64"/>
      <c r="F7" s="3"/>
      <c r="G7" s="64"/>
      <c r="H7" s="3"/>
      <c r="I7" s="64"/>
      <c r="J7" s="3"/>
      <c r="K7" s="64"/>
      <c r="L7" s="7" t="s">
        <v>3</v>
      </c>
    </row>
    <row r="8" spans="1:12" s="112" customFormat="1" ht="15">
      <c r="A8" s="412" t="s">
        <v>4</v>
      </c>
      <c r="B8" s="412" t="s">
        <v>156</v>
      </c>
      <c r="C8" s="412" t="s">
        <v>898</v>
      </c>
      <c r="D8" s="412" t="s">
        <v>192</v>
      </c>
      <c r="E8" s="412"/>
      <c r="F8" s="412"/>
      <c r="G8" s="412"/>
      <c r="H8" s="412"/>
      <c r="I8" s="412"/>
      <c r="J8" s="412"/>
      <c r="K8" s="412"/>
      <c r="L8" s="412"/>
    </row>
    <row r="9" spans="1:12" s="112" customFormat="1" ht="58.5" customHeight="1">
      <c r="A9" s="412"/>
      <c r="B9" s="412"/>
      <c r="C9" s="412"/>
      <c r="D9" s="65" t="s">
        <v>158</v>
      </c>
      <c r="E9" s="66" t="s">
        <v>193</v>
      </c>
      <c r="F9" s="65" t="s">
        <v>159</v>
      </c>
      <c r="G9" s="66" t="s">
        <v>194</v>
      </c>
      <c r="H9" s="65" t="s">
        <v>88</v>
      </c>
      <c r="I9" s="66" t="s">
        <v>195</v>
      </c>
      <c r="J9" s="65" t="s">
        <v>160</v>
      </c>
      <c r="K9" s="66" t="s">
        <v>196</v>
      </c>
      <c r="L9" s="65" t="s">
        <v>751</v>
      </c>
    </row>
    <row r="10" spans="1:12" ht="15">
      <c r="A10" s="237">
        <v>1</v>
      </c>
      <c r="B10" s="238">
        <v>2</v>
      </c>
      <c r="C10" s="239"/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</row>
    <row r="11" spans="1:12" ht="28.5">
      <c r="A11" s="67"/>
      <c r="B11" s="13" t="s">
        <v>161</v>
      </c>
      <c r="C11" s="14">
        <f aca="true" t="shared" si="0" ref="C11:C35">SUM(D11:L11)</f>
        <v>94117404</v>
      </c>
      <c r="D11" s="14">
        <f aca="true" t="shared" si="1" ref="D11:L11">D12+D34+D41+D60+D72+D88+D95+D122+D157</f>
        <v>58940328</v>
      </c>
      <c r="E11" s="241">
        <f t="shared" si="1"/>
        <v>45624</v>
      </c>
      <c r="F11" s="14">
        <f t="shared" si="1"/>
        <v>1588332</v>
      </c>
      <c r="G11" s="241">
        <f t="shared" si="1"/>
        <v>4485</v>
      </c>
      <c r="H11" s="14">
        <f t="shared" si="1"/>
        <v>29438156</v>
      </c>
      <c r="I11" s="241">
        <f t="shared" si="1"/>
        <v>81843</v>
      </c>
      <c r="J11" s="14">
        <f t="shared" si="1"/>
        <v>688859</v>
      </c>
      <c r="K11" s="241">
        <f t="shared" si="1"/>
        <v>0</v>
      </c>
      <c r="L11" s="14">
        <f t="shared" si="1"/>
        <v>3329777</v>
      </c>
    </row>
    <row r="12" spans="1:12" ht="15">
      <c r="A12" s="68" t="s">
        <v>162</v>
      </c>
      <c r="B12" s="69" t="s">
        <v>163</v>
      </c>
      <c r="C12" s="70">
        <f>SUM(D12:L12)</f>
        <v>8740342</v>
      </c>
      <c r="D12" s="70">
        <f aca="true" t="shared" si="2" ref="D12:L12">D13+D18+D22+D25+D27+D29+D32</f>
        <v>6770103</v>
      </c>
      <c r="E12" s="71">
        <f t="shared" si="2"/>
        <v>43516</v>
      </c>
      <c r="F12" s="70">
        <f t="shared" si="2"/>
        <v>99500</v>
      </c>
      <c r="G12" s="71">
        <f t="shared" si="2"/>
        <v>0</v>
      </c>
      <c r="H12" s="70">
        <f t="shared" si="2"/>
        <v>1131158</v>
      </c>
      <c r="I12" s="71">
        <f t="shared" si="2"/>
        <v>0</v>
      </c>
      <c r="J12" s="70">
        <f t="shared" si="2"/>
        <v>636544</v>
      </c>
      <c r="K12" s="71">
        <f t="shared" si="2"/>
        <v>0</v>
      </c>
      <c r="L12" s="70">
        <f t="shared" si="2"/>
        <v>59521</v>
      </c>
    </row>
    <row r="13" spans="1:12" ht="25.5">
      <c r="A13" s="15" t="s">
        <v>197</v>
      </c>
      <c r="B13" s="16" t="s">
        <v>198</v>
      </c>
      <c r="C13" s="17">
        <f t="shared" si="0"/>
        <v>5820872</v>
      </c>
      <c r="D13" s="17">
        <f>SUM(D14:D17)</f>
        <v>4708326</v>
      </c>
      <c r="E13" s="72">
        <f aca="true" t="shared" si="3" ref="E13:L13">SUM(E14:E17)</f>
        <v>0</v>
      </c>
      <c r="F13" s="17">
        <f t="shared" si="3"/>
        <v>99500</v>
      </c>
      <c r="G13" s="72">
        <f t="shared" si="3"/>
        <v>0</v>
      </c>
      <c r="H13" s="17">
        <f t="shared" si="3"/>
        <v>964322</v>
      </c>
      <c r="I13" s="72">
        <f t="shared" si="3"/>
        <v>0</v>
      </c>
      <c r="J13" s="17">
        <f t="shared" si="3"/>
        <v>0</v>
      </c>
      <c r="K13" s="72">
        <f t="shared" si="3"/>
        <v>0</v>
      </c>
      <c r="L13" s="17">
        <f t="shared" si="3"/>
        <v>48724</v>
      </c>
    </row>
    <row r="14" spans="1:12" ht="15">
      <c r="A14" s="18" t="s">
        <v>11</v>
      </c>
      <c r="B14" s="19" t="s">
        <v>199</v>
      </c>
      <c r="C14" s="28">
        <f t="shared" si="0"/>
        <v>4729745</v>
      </c>
      <c r="D14" s="20">
        <f>4521023+20000+12562+54471</f>
        <v>4608056</v>
      </c>
      <c r="E14" s="73">
        <v>0</v>
      </c>
      <c r="F14" s="20">
        <v>99500</v>
      </c>
      <c r="G14" s="73">
        <v>0</v>
      </c>
      <c r="H14" s="20">
        <v>0</v>
      </c>
      <c r="I14" s="73">
        <v>0</v>
      </c>
      <c r="J14" s="20">
        <v>0</v>
      </c>
      <c r="K14" s="73">
        <v>0</v>
      </c>
      <c r="L14" s="20">
        <v>22189</v>
      </c>
    </row>
    <row r="15" spans="1:12" ht="38.25">
      <c r="A15" s="21" t="s">
        <v>200</v>
      </c>
      <c r="B15" s="22" t="s">
        <v>201</v>
      </c>
      <c r="C15" s="17">
        <f t="shared" si="0"/>
        <v>25735</v>
      </c>
      <c r="D15" s="23">
        <v>0</v>
      </c>
      <c r="E15" s="73">
        <v>0</v>
      </c>
      <c r="F15" s="20">
        <v>0</v>
      </c>
      <c r="G15" s="73">
        <v>0</v>
      </c>
      <c r="H15" s="20">
        <v>0</v>
      </c>
      <c r="I15" s="73">
        <v>0</v>
      </c>
      <c r="J15" s="20">
        <v>0</v>
      </c>
      <c r="K15" s="73">
        <v>0</v>
      </c>
      <c r="L15" s="23">
        <v>25735</v>
      </c>
    </row>
    <row r="16" spans="1:12" ht="63.75">
      <c r="A16" s="21" t="s">
        <v>202</v>
      </c>
      <c r="B16" s="22" t="s">
        <v>203</v>
      </c>
      <c r="C16" s="17">
        <f t="shared" si="0"/>
        <v>800</v>
      </c>
      <c r="D16" s="23">
        <v>0</v>
      </c>
      <c r="E16" s="73">
        <v>0</v>
      </c>
      <c r="F16" s="20">
        <v>0</v>
      </c>
      <c r="G16" s="73">
        <v>0</v>
      </c>
      <c r="H16" s="20">
        <v>0</v>
      </c>
      <c r="I16" s="73">
        <v>0</v>
      </c>
      <c r="J16" s="20">
        <v>0</v>
      </c>
      <c r="K16" s="73">
        <v>0</v>
      </c>
      <c r="L16" s="23">
        <v>800</v>
      </c>
    </row>
    <row r="17" spans="1:12" ht="38.25">
      <c r="A17" s="21" t="s">
        <v>830</v>
      </c>
      <c r="B17" s="22" t="s">
        <v>831</v>
      </c>
      <c r="C17" s="17">
        <f>SUM(D17:L17)</f>
        <v>1064592</v>
      </c>
      <c r="D17" s="23">
        <f>100270</f>
        <v>100270</v>
      </c>
      <c r="E17" s="73">
        <v>0</v>
      </c>
      <c r="F17" s="20">
        <v>0</v>
      </c>
      <c r="G17" s="73">
        <v>0</v>
      </c>
      <c r="H17" s="20">
        <f>964322</f>
        <v>964322</v>
      </c>
      <c r="I17" s="73">
        <v>0</v>
      </c>
      <c r="J17" s="20">
        <v>0</v>
      </c>
      <c r="K17" s="73">
        <v>0</v>
      </c>
      <c r="L17" s="23">
        <v>0</v>
      </c>
    </row>
    <row r="18" spans="1:12" ht="15">
      <c r="A18" s="15" t="s">
        <v>204</v>
      </c>
      <c r="B18" s="16" t="s">
        <v>205</v>
      </c>
      <c r="C18" s="17">
        <f t="shared" si="0"/>
        <v>389544</v>
      </c>
      <c r="D18" s="17">
        <f>SUM(D19:D21)</f>
        <v>384180</v>
      </c>
      <c r="E18" s="76">
        <f aca="true" t="shared" si="4" ref="E18:L18">SUM(E19:E21)</f>
        <v>5364</v>
      </c>
      <c r="F18" s="28">
        <f t="shared" si="4"/>
        <v>0</v>
      </c>
      <c r="G18" s="76">
        <f t="shared" si="4"/>
        <v>0</v>
      </c>
      <c r="H18" s="28">
        <f t="shared" si="4"/>
        <v>0</v>
      </c>
      <c r="I18" s="76">
        <f t="shared" si="4"/>
        <v>0</v>
      </c>
      <c r="J18" s="28">
        <f t="shared" si="4"/>
        <v>0</v>
      </c>
      <c r="K18" s="72">
        <f t="shared" si="4"/>
        <v>0</v>
      </c>
      <c r="L18" s="17">
        <f t="shared" si="4"/>
        <v>0</v>
      </c>
    </row>
    <row r="19" spans="1:12" ht="38.25">
      <c r="A19" s="21" t="s">
        <v>206</v>
      </c>
      <c r="B19" s="22" t="s">
        <v>207</v>
      </c>
      <c r="C19" s="17">
        <f t="shared" si="0"/>
        <v>14518</v>
      </c>
      <c r="D19" s="20">
        <v>9154</v>
      </c>
      <c r="E19" s="73">
        <v>5364</v>
      </c>
      <c r="F19" s="20">
        <v>0</v>
      </c>
      <c r="G19" s="73">
        <v>0</v>
      </c>
      <c r="H19" s="20">
        <v>0</v>
      </c>
      <c r="I19" s="73">
        <v>0</v>
      </c>
      <c r="J19" s="20">
        <v>0</v>
      </c>
      <c r="K19" s="73">
        <v>0</v>
      </c>
      <c r="L19" s="20">
        <v>0</v>
      </c>
    </row>
    <row r="20" spans="1:12" ht="39" customHeight="1">
      <c r="A20" s="21" t="s">
        <v>208</v>
      </c>
      <c r="B20" s="22" t="s">
        <v>209</v>
      </c>
      <c r="C20" s="17">
        <f t="shared" si="0"/>
        <v>283446</v>
      </c>
      <c r="D20" s="20">
        <v>283446</v>
      </c>
      <c r="E20" s="73">
        <v>0</v>
      </c>
      <c r="F20" s="20">
        <v>0</v>
      </c>
      <c r="G20" s="73">
        <v>0</v>
      </c>
      <c r="H20" s="20">
        <v>0</v>
      </c>
      <c r="I20" s="73">
        <v>0</v>
      </c>
      <c r="J20" s="20">
        <v>0</v>
      </c>
      <c r="K20" s="73">
        <v>0</v>
      </c>
      <c r="L20" s="20">
        <v>0</v>
      </c>
    </row>
    <row r="21" spans="1:12" ht="38.25">
      <c r="A21" s="21" t="s">
        <v>210</v>
      </c>
      <c r="B21" s="22" t="s">
        <v>211</v>
      </c>
      <c r="C21" s="17">
        <f t="shared" si="0"/>
        <v>91580</v>
      </c>
      <c r="D21" s="20">
        <v>91580</v>
      </c>
      <c r="E21" s="73">
        <v>0</v>
      </c>
      <c r="F21" s="20">
        <v>0</v>
      </c>
      <c r="G21" s="73">
        <v>0</v>
      </c>
      <c r="H21" s="20">
        <v>0</v>
      </c>
      <c r="I21" s="73">
        <v>0</v>
      </c>
      <c r="J21" s="20">
        <v>0</v>
      </c>
      <c r="K21" s="73">
        <v>0</v>
      </c>
      <c r="L21" s="20">
        <v>0</v>
      </c>
    </row>
    <row r="22" spans="1:12" ht="26.25">
      <c r="A22" s="15" t="s">
        <v>212</v>
      </c>
      <c r="B22" s="77" t="s">
        <v>213</v>
      </c>
      <c r="C22" s="17">
        <f t="shared" si="0"/>
        <v>860124</v>
      </c>
      <c r="D22" s="28">
        <f aca="true" t="shared" si="5" ref="D22:L22">SUM(D23:D24)</f>
        <v>643072</v>
      </c>
      <c r="E22" s="76">
        <f t="shared" si="5"/>
        <v>45594</v>
      </c>
      <c r="F22" s="28">
        <f t="shared" si="5"/>
        <v>0</v>
      </c>
      <c r="G22" s="76">
        <f t="shared" si="5"/>
        <v>0</v>
      </c>
      <c r="H22" s="28">
        <f t="shared" si="5"/>
        <v>162304</v>
      </c>
      <c r="I22" s="76">
        <f t="shared" si="5"/>
        <v>0</v>
      </c>
      <c r="J22" s="28">
        <f t="shared" si="5"/>
        <v>0</v>
      </c>
      <c r="K22" s="76">
        <f t="shared" si="5"/>
        <v>0</v>
      </c>
      <c r="L22" s="28">
        <f t="shared" si="5"/>
        <v>9154</v>
      </c>
    </row>
    <row r="23" spans="1:12" ht="25.5">
      <c r="A23" s="21" t="s">
        <v>214</v>
      </c>
      <c r="B23" s="22" t="s">
        <v>215</v>
      </c>
      <c r="C23" s="17">
        <f t="shared" si="0"/>
        <v>687958</v>
      </c>
      <c r="D23" s="20">
        <v>642364</v>
      </c>
      <c r="E23" s="73">
        <f>37124+8470</f>
        <v>45594</v>
      </c>
      <c r="F23" s="20">
        <v>0</v>
      </c>
      <c r="G23" s="73">
        <v>0</v>
      </c>
      <c r="H23" s="20">
        <v>0</v>
      </c>
      <c r="I23" s="73">
        <v>0</v>
      </c>
      <c r="J23" s="20">
        <v>0</v>
      </c>
      <c r="K23" s="73">
        <v>0</v>
      </c>
      <c r="L23" s="20">
        <v>0</v>
      </c>
    </row>
    <row r="24" spans="1:12" ht="76.5">
      <c r="A24" s="21" t="s">
        <v>216</v>
      </c>
      <c r="B24" s="22" t="s">
        <v>755</v>
      </c>
      <c r="C24" s="17">
        <f t="shared" si="0"/>
        <v>172166</v>
      </c>
      <c r="D24" s="20">
        <v>708</v>
      </c>
      <c r="E24" s="73">
        <v>0</v>
      </c>
      <c r="F24" s="20">
        <v>0</v>
      </c>
      <c r="G24" s="73">
        <v>0</v>
      </c>
      <c r="H24" s="20">
        <v>162304</v>
      </c>
      <c r="I24" s="73">
        <v>0</v>
      </c>
      <c r="J24" s="20">
        <v>0</v>
      </c>
      <c r="K24" s="73">
        <v>0</v>
      </c>
      <c r="L24" s="23">
        <v>9154</v>
      </c>
    </row>
    <row r="25" spans="1:12" s="108" customFormat="1" ht="25.5">
      <c r="A25" s="78" t="s">
        <v>217</v>
      </c>
      <c r="B25" s="36" t="s">
        <v>218</v>
      </c>
      <c r="C25" s="28">
        <f t="shared" si="0"/>
        <v>50000</v>
      </c>
      <c r="D25" s="28">
        <f>D26</f>
        <v>50000</v>
      </c>
      <c r="E25" s="76">
        <f aca="true" t="shared" si="6" ref="E25:L25">E26</f>
        <v>0</v>
      </c>
      <c r="F25" s="28">
        <f t="shared" si="6"/>
        <v>0</v>
      </c>
      <c r="G25" s="76">
        <f t="shared" si="6"/>
        <v>0</v>
      </c>
      <c r="H25" s="28">
        <f t="shared" si="6"/>
        <v>0</v>
      </c>
      <c r="I25" s="76">
        <f t="shared" si="6"/>
        <v>0</v>
      </c>
      <c r="J25" s="28">
        <f t="shared" si="6"/>
        <v>0</v>
      </c>
      <c r="K25" s="76">
        <f t="shared" si="6"/>
        <v>0</v>
      </c>
      <c r="L25" s="28">
        <f t="shared" si="6"/>
        <v>0</v>
      </c>
    </row>
    <row r="26" spans="1:12" s="108" customFormat="1" ht="15">
      <c r="A26" s="18" t="s">
        <v>219</v>
      </c>
      <c r="B26" s="19" t="s">
        <v>220</v>
      </c>
      <c r="C26" s="28">
        <f t="shared" si="0"/>
        <v>50000</v>
      </c>
      <c r="D26" s="20">
        <v>50000</v>
      </c>
      <c r="E26" s="73">
        <v>0</v>
      </c>
      <c r="F26" s="20">
        <v>0</v>
      </c>
      <c r="G26" s="73">
        <v>0</v>
      </c>
      <c r="H26" s="20">
        <v>0</v>
      </c>
      <c r="I26" s="73">
        <v>0</v>
      </c>
      <c r="J26" s="20">
        <v>0</v>
      </c>
      <c r="K26" s="73">
        <v>0</v>
      </c>
      <c r="L26" s="20">
        <v>0</v>
      </c>
    </row>
    <row r="27" spans="1:12" ht="24" customHeight="1">
      <c r="A27" s="26" t="s">
        <v>221</v>
      </c>
      <c r="B27" s="27" t="s">
        <v>222</v>
      </c>
      <c r="C27" s="17">
        <f t="shared" si="0"/>
        <v>296126</v>
      </c>
      <c r="D27" s="28">
        <f>D28</f>
        <v>301490</v>
      </c>
      <c r="E27" s="76">
        <f aca="true" t="shared" si="7" ref="E27:L27">E28</f>
        <v>-5364</v>
      </c>
      <c r="F27" s="28">
        <f t="shared" si="7"/>
        <v>0</v>
      </c>
      <c r="G27" s="76">
        <f t="shared" si="7"/>
        <v>0</v>
      </c>
      <c r="H27" s="28">
        <f t="shared" si="7"/>
        <v>0</v>
      </c>
      <c r="I27" s="76">
        <f t="shared" si="7"/>
        <v>0</v>
      </c>
      <c r="J27" s="28">
        <f t="shared" si="7"/>
        <v>0</v>
      </c>
      <c r="K27" s="76">
        <f t="shared" si="7"/>
        <v>0</v>
      </c>
      <c r="L27" s="28">
        <f t="shared" si="7"/>
        <v>0</v>
      </c>
    </row>
    <row r="28" spans="1:12" ht="15">
      <c r="A28" s="21" t="s">
        <v>223</v>
      </c>
      <c r="B28" s="22" t="s">
        <v>224</v>
      </c>
      <c r="C28" s="17">
        <f t="shared" si="0"/>
        <v>296126</v>
      </c>
      <c r="D28" s="28">
        <v>301490</v>
      </c>
      <c r="E28" s="73">
        <v>-5364</v>
      </c>
      <c r="F28" s="20">
        <v>0</v>
      </c>
      <c r="G28" s="73">
        <v>0</v>
      </c>
      <c r="H28" s="20">
        <v>0</v>
      </c>
      <c r="I28" s="73">
        <v>0</v>
      </c>
      <c r="J28" s="20">
        <v>0</v>
      </c>
      <c r="K28" s="73">
        <v>0</v>
      </c>
      <c r="L28" s="20">
        <v>0</v>
      </c>
    </row>
    <row r="29" spans="1:12" ht="38.25">
      <c r="A29" s="15" t="s">
        <v>225</v>
      </c>
      <c r="B29" s="16" t="s">
        <v>226</v>
      </c>
      <c r="C29" s="17">
        <f t="shared" si="0"/>
        <v>1294925</v>
      </c>
      <c r="D29" s="28">
        <f aca="true" t="shared" si="8" ref="D29:L29">SUM(D30:D31)</f>
        <v>652206</v>
      </c>
      <c r="E29" s="76">
        <f t="shared" si="8"/>
        <v>0</v>
      </c>
      <c r="F29" s="28">
        <f t="shared" si="8"/>
        <v>0</v>
      </c>
      <c r="G29" s="76">
        <f t="shared" si="8"/>
        <v>0</v>
      </c>
      <c r="H29" s="28">
        <f t="shared" si="8"/>
        <v>4532</v>
      </c>
      <c r="I29" s="76">
        <f t="shared" si="8"/>
        <v>0</v>
      </c>
      <c r="J29" s="28">
        <f t="shared" si="8"/>
        <v>636544</v>
      </c>
      <c r="K29" s="72">
        <f t="shared" si="8"/>
        <v>0</v>
      </c>
      <c r="L29" s="17">
        <f t="shared" si="8"/>
        <v>1643</v>
      </c>
    </row>
    <row r="30" spans="1:12" ht="29.25" customHeight="1">
      <c r="A30" s="21" t="s">
        <v>227</v>
      </c>
      <c r="B30" s="22" t="s">
        <v>228</v>
      </c>
      <c r="C30" s="17">
        <f t="shared" si="0"/>
        <v>940923</v>
      </c>
      <c r="D30" s="20">
        <v>302736</v>
      </c>
      <c r="E30" s="73">
        <v>0</v>
      </c>
      <c r="F30" s="20">
        <v>0</v>
      </c>
      <c r="G30" s="73">
        <v>0</v>
      </c>
      <c r="H30" s="20">
        <v>0</v>
      </c>
      <c r="I30" s="73">
        <v>0</v>
      </c>
      <c r="J30" s="20">
        <v>636544</v>
      </c>
      <c r="K30" s="73">
        <v>0</v>
      </c>
      <c r="L30" s="23">
        <v>1643</v>
      </c>
    </row>
    <row r="31" spans="1:12" ht="38.25">
      <c r="A31" s="21" t="s">
        <v>229</v>
      </c>
      <c r="B31" s="22" t="s">
        <v>230</v>
      </c>
      <c r="C31" s="17">
        <f t="shared" si="0"/>
        <v>354002</v>
      </c>
      <c r="D31" s="20">
        <f>670635-40000-281165</f>
        <v>349470</v>
      </c>
      <c r="E31" s="73">
        <v>0</v>
      </c>
      <c r="F31" s="20">
        <v>0</v>
      </c>
      <c r="G31" s="73">
        <v>0</v>
      </c>
      <c r="H31" s="20">
        <f>5700+5000-6168</f>
        <v>4532</v>
      </c>
      <c r="I31" s="73">
        <v>0</v>
      </c>
      <c r="J31" s="20">
        <v>0</v>
      </c>
      <c r="K31" s="73">
        <v>0</v>
      </c>
      <c r="L31" s="20">
        <v>0</v>
      </c>
    </row>
    <row r="32" spans="1:12" ht="38.25">
      <c r="A32" s="15" t="s">
        <v>231</v>
      </c>
      <c r="B32" s="16" t="s">
        <v>232</v>
      </c>
      <c r="C32" s="28">
        <f t="shared" si="0"/>
        <v>28751</v>
      </c>
      <c r="D32" s="28">
        <f>D33</f>
        <v>30829</v>
      </c>
      <c r="E32" s="76">
        <f aca="true" t="shared" si="9" ref="E32:L32">E33</f>
        <v>-2078</v>
      </c>
      <c r="F32" s="28">
        <f t="shared" si="9"/>
        <v>0</v>
      </c>
      <c r="G32" s="76">
        <f t="shared" si="9"/>
        <v>0</v>
      </c>
      <c r="H32" s="28">
        <f t="shared" si="9"/>
        <v>0</v>
      </c>
      <c r="I32" s="76">
        <f t="shared" si="9"/>
        <v>0</v>
      </c>
      <c r="J32" s="28">
        <f t="shared" si="9"/>
        <v>0</v>
      </c>
      <c r="K32" s="76">
        <f t="shared" si="9"/>
        <v>0</v>
      </c>
      <c r="L32" s="28">
        <f t="shared" si="9"/>
        <v>0</v>
      </c>
    </row>
    <row r="33" spans="1:12" ht="25.5">
      <c r="A33" s="21" t="s">
        <v>233</v>
      </c>
      <c r="B33" s="22" t="s">
        <v>234</v>
      </c>
      <c r="C33" s="17">
        <f t="shared" si="0"/>
        <v>28751</v>
      </c>
      <c r="D33" s="20">
        <f>500000-265479-127579-76113</f>
        <v>30829</v>
      </c>
      <c r="E33" s="73">
        <v>-2078</v>
      </c>
      <c r="F33" s="20">
        <v>0</v>
      </c>
      <c r="G33" s="73">
        <v>0</v>
      </c>
      <c r="H33" s="20">
        <v>0</v>
      </c>
      <c r="I33" s="73">
        <v>0</v>
      </c>
      <c r="J33" s="20">
        <v>0</v>
      </c>
      <c r="K33" s="73">
        <v>0</v>
      </c>
      <c r="L33" s="20">
        <v>0</v>
      </c>
    </row>
    <row r="34" spans="1:12" ht="15">
      <c r="A34" s="68" t="s">
        <v>164</v>
      </c>
      <c r="B34" s="69" t="s">
        <v>165</v>
      </c>
      <c r="C34" s="70">
        <f t="shared" si="0"/>
        <v>4295719</v>
      </c>
      <c r="D34" s="70">
        <f>D35+D38</f>
        <v>3586723</v>
      </c>
      <c r="E34" s="71">
        <f aca="true" t="shared" si="10" ref="E34:L34">E35+E38</f>
        <v>0</v>
      </c>
      <c r="F34" s="70">
        <f t="shared" si="10"/>
        <v>234357</v>
      </c>
      <c r="G34" s="71">
        <f t="shared" si="10"/>
        <v>0</v>
      </c>
      <c r="H34" s="70">
        <f t="shared" si="10"/>
        <v>202191</v>
      </c>
      <c r="I34" s="71">
        <f t="shared" si="10"/>
        <v>7466</v>
      </c>
      <c r="J34" s="70">
        <f t="shared" si="10"/>
        <v>0</v>
      </c>
      <c r="K34" s="71">
        <f t="shared" si="10"/>
        <v>0</v>
      </c>
      <c r="L34" s="70">
        <f t="shared" si="10"/>
        <v>264982</v>
      </c>
    </row>
    <row r="35" spans="1:12" ht="15">
      <c r="A35" s="15" t="s">
        <v>235</v>
      </c>
      <c r="B35" s="16" t="s">
        <v>236</v>
      </c>
      <c r="C35" s="28">
        <f t="shared" si="0"/>
        <v>3520942</v>
      </c>
      <c r="D35" s="28">
        <f>D36+D37</f>
        <v>2990671</v>
      </c>
      <c r="E35" s="76">
        <f>E36+E37</f>
        <v>0</v>
      </c>
      <c r="F35" s="28">
        <f aca="true" t="shared" si="11" ref="F35:L35">F36+F37</f>
        <v>234357</v>
      </c>
      <c r="G35" s="76">
        <f t="shared" si="11"/>
        <v>0</v>
      </c>
      <c r="H35" s="28">
        <f t="shared" si="11"/>
        <v>111008</v>
      </c>
      <c r="I35" s="76">
        <f t="shared" si="11"/>
        <v>7466</v>
      </c>
      <c r="J35" s="28">
        <f t="shared" si="11"/>
        <v>0</v>
      </c>
      <c r="K35" s="76">
        <f t="shared" si="11"/>
        <v>0</v>
      </c>
      <c r="L35" s="28">
        <f t="shared" si="11"/>
        <v>177440</v>
      </c>
    </row>
    <row r="36" spans="1:12" ht="30" customHeight="1">
      <c r="A36" s="21" t="s">
        <v>237</v>
      </c>
      <c r="B36" s="19" t="s">
        <v>832</v>
      </c>
      <c r="C36" s="17">
        <f aca="true" t="shared" si="12" ref="C36:C47">SUM(D36:L36)</f>
        <v>3243883</v>
      </c>
      <c r="D36" s="23">
        <f>2842436-37215+30000+7562</f>
        <v>2842783</v>
      </c>
      <c r="E36" s="73">
        <v>0</v>
      </c>
      <c r="F36" s="20">
        <v>234357</v>
      </c>
      <c r="G36" s="73">
        <v>0</v>
      </c>
      <c r="H36" s="20">
        <f>44850</f>
        <v>44850</v>
      </c>
      <c r="I36" s="73">
        <v>7466</v>
      </c>
      <c r="J36" s="20">
        <v>0</v>
      </c>
      <c r="K36" s="73">
        <v>0</v>
      </c>
      <c r="L36" s="23">
        <v>114427</v>
      </c>
    </row>
    <row r="37" spans="1:12" ht="51">
      <c r="A37" s="21" t="s">
        <v>238</v>
      </c>
      <c r="B37" s="22" t="s">
        <v>239</v>
      </c>
      <c r="C37" s="17">
        <f>SUM(D37:L37)</f>
        <v>277059</v>
      </c>
      <c r="D37" s="23">
        <f>109898+340+39871-2221</f>
        <v>147888</v>
      </c>
      <c r="E37" s="73">
        <v>0</v>
      </c>
      <c r="F37" s="20">
        <v>0</v>
      </c>
      <c r="G37" s="73">
        <v>0</v>
      </c>
      <c r="H37" s="20">
        <v>66158</v>
      </c>
      <c r="I37" s="73">
        <v>0</v>
      </c>
      <c r="J37" s="20">
        <v>0</v>
      </c>
      <c r="K37" s="73">
        <v>0</v>
      </c>
      <c r="L37" s="23">
        <v>63013</v>
      </c>
    </row>
    <row r="38" spans="1:12" ht="37.5" customHeight="1">
      <c r="A38" s="15" t="s">
        <v>240</v>
      </c>
      <c r="B38" s="16" t="s">
        <v>241</v>
      </c>
      <c r="C38" s="17">
        <f t="shared" si="12"/>
        <v>774777</v>
      </c>
      <c r="D38" s="17">
        <f aca="true" t="shared" si="13" ref="D38:L38">SUM(D39:D40)</f>
        <v>596052</v>
      </c>
      <c r="E38" s="72">
        <f t="shared" si="13"/>
        <v>0</v>
      </c>
      <c r="F38" s="17">
        <f t="shared" si="13"/>
        <v>0</v>
      </c>
      <c r="G38" s="72">
        <f t="shared" si="13"/>
        <v>0</v>
      </c>
      <c r="H38" s="17">
        <f t="shared" si="13"/>
        <v>91183</v>
      </c>
      <c r="I38" s="72">
        <f t="shared" si="13"/>
        <v>0</v>
      </c>
      <c r="J38" s="17">
        <f t="shared" si="13"/>
        <v>0</v>
      </c>
      <c r="K38" s="72">
        <f t="shared" si="13"/>
        <v>0</v>
      </c>
      <c r="L38" s="17">
        <f t="shared" si="13"/>
        <v>87542</v>
      </c>
    </row>
    <row r="39" spans="1:12" ht="37.5" customHeight="1">
      <c r="A39" s="21" t="s">
        <v>242</v>
      </c>
      <c r="B39" s="22" t="s">
        <v>833</v>
      </c>
      <c r="C39" s="17">
        <f t="shared" si="12"/>
        <v>363594</v>
      </c>
      <c r="D39" s="23">
        <f>266130+9922</f>
        <v>276052</v>
      </c>
      <c r="E39" s="73">
        <v>0</v>
      </c>
      <c r="F39" s="20">
        <v>0</v>
      </c>
      <c r="G39" s="73">
        <v>0</v>
      </c>
      <c r="H39" s="20">
        <v>0</v>
      </c>
      <c r="I39" s="73">
        <v>0</v>
      </c>
      <c r="J39" s="20">
        <v>0</v>
      </c>
      <c r="K39" s="73">
        <v>0</v>
      </c>
      <c r="L39" s="20">
        <v>87542</v>
      </c>
    </row>
    <row r="40" spans="1:12" ht="63.75">
      <c r="A40" s="79" t="s">
        <v>752</v>
      </c>
      <c r="B40" s="80" t="s">
        <v>753</v>
      </c>
      <c r="C40" s="17">
        <f>SUM(D40:L40)</f>
        <v>411183</v>
      </c>
      <c r="D40" s="81">
        <f>392644-72644</f>
        <v>320000</v>
      </c>
      <c r="E40" s="73">
        <v>0</v>
      </c>
      <c r="F40" s="20">
        <v>0</v>
      </c>
      <c r="G40" s="73">
        <v>0</v>
      </c>
      <c r="H40" s="81">
        <v>91183</v>
      </c>
      <c r="I40" s="73">
        <v>0</v>
      </c>
      <c r="J40" s="20">
        <v>0</v>
      </c>
      <c r="K40" s="73">
        <v>0</v>
      </c>
      <c r="L40" s="81">
        <v>0</v>
      </c>
    </row>
    <row r="41" spans="1:12" ht="15">
      <c r="A41" s="68" t="s">
        <v>166</v>
      </c>
      <c r="B41" s="69" t="s">
        <v>167</v>
      </c>
      <c r="C41" s="70">
        <f t="shared" si="12"/>
        <v>14193363</v>
      </c>
      <c r="D41" s="70">
        <f aca="true" t="shared" si="14" ref="D41:L41">D42+D48+D53+D56</f>
        <v>5525506</v>
      </c>
      <c r="E41" s="71">
        <f t="shared" si="14"/>
        <v>0</v>
      </c>
      <c r="F41" s="70">
        <f t="shared" si="14"/>
        <v>137484</v>
      </c>
      <c r="G41" s="71">
        <f t="shared" si="14"/>
        <v>0</v>
      </c>
      <c r="H41" s="70">
        <f t="shared" si="14"/>
        <v>7460057</v>
      </c>
      <c r="I41" s="71">
        <f t="shared" si="14"/>
        <v>0</v>
      </c>
      <c r="J41" s="70">
        <f t="shared" si="14"/>
        <v>24155</v>
      </c>
      <c r="K41" s="71">
        <f t="shared" si="14"/>
        <v>0</v>
      </c>
      <c r="L41" s="70">
        <f t="shared" si="14"/>
        <v>1046161</v>
      </c>
    </row>
    <row r="42" spans="1:12" ht="15">
      <c r="A42" s="15" t="s">
        <v>243</v>
      </c>
      <c r="B42" s="16" t="s">
        <v>244</v>
      </c>
      <c r="C42" s="17">
        <f>SUM(D42:L42)</f>
        <v>9090824</v>
      </c>
      <c r="D42" s="17">
        <f aca="true" t="shared" si="15" ref="D42:L42">SUM(D43:D47)</f>
        <v>4711018</v>
      </c>
      <c r="E42" s="72">
        <f t="shared" si="15"/>
        <v>0</v>
      </c>
      <c r="F42" s="17">
        <f t="shared" si="15"/>
        <v>0</v>
      </c>
      <c r="G42" s="72">
        <f t="shared" si="15"/>
        <v>0</v>
      </c>
      <c r="H42" s="17">
        <f t="shared" si="15"/>
        <v>3573682</v>
      </c>
      <c r="I42" s="72">
        <f t="shared" si="15"/>
        <v>0</v>
      </c>
      <c r="J42" s="17">
        <f t="shared" si="15"/>
        <v>0</v>
      </c>
      <c r="K42" s="72">
        <f t="shared" si="15"/>
        <v>0</v>
      </c>
      <c r="L42" s="17">
        <f t="shared" si="15"/>
        <v>806124</v>
      </c>
    </row>
    <row r="43" spans="1:12" ht="38.25">
      <c r="A43" s="21" t="s">
        <v>245</v>
      </c>
      <c r="B43" s="22" t="s">
        <v>246</v>
      </c>
      <c r="C43" s="17">
        <f t="shared" si="12"/>
        <v>2190344</v>
      </c>
      <c r="D43" s="23">
        <f>454965+235132-36443</f>
        <v>653654</v>
      </c>
      <c r="E43" s="73">
        <v>0</v>
      </c>
      <c r="F43" s="20">
        <v>0</v>
      </c>
      <c r="G43" s="73">
        <v>0</v>
      </c>
      <c r="H43" s="20">
        <v>1369537</v>
      </c>
      <c r="I43" s="73">
        <v>0</v>
      </c>
      <c r="J43" s="20">
        <v>0</v>
      </c>
      <c r="K43" s="73">
        <v>0</v>
      </c>
      <c r="L43" s="20">
        <v>167153</v>
      </c>
    </row>
    <row r="44" spans="1:12" ht="51">
      <c r="A44" s="21" t="s">
        <v>247</v>
      </c>
      <c r="B44" s="19" t="s">
        <v>754</v>
      </c>
      <c r="C44" s="17">
        <f t="shared" si="12"/>
        <v>3363856</v>
      </c>
      <c r="D44" s="23">
        <f>1585969+253852</f>
        <v>1839821</v>
      </c>
      <c r="E44" s="73">
        <v>0</v>
      </c>
      <c r="F44" s="20">
        <v>0</v>
      </c>
      <c r="G44" s="73">
        <v>0</v>
      </c>
      <c r="H44" s="20">
        <f>842891+104030</f>
        <v>946921</v>
      </c>
      <c r="I44" s="73">
        <v>0</v>
      </c>
      <c r="J44" s="20">
        <v>0</v>
      </c>
      <c r="K44" s="73">
        <v>0</v>
      </c>
      <c r="L44" s="23">
        <v>577114</v>
      </c>
    </row>
    <row r="45" spans="1:12" ht="54" customHeight="1">
      <c r="A45" s="18" t="s">
        <v>249</v>
      </c>
      <c r="B45" s="19" t="s">
        <v>250</v>
      </c>
      <c r="C45" s="17">
        <f t="shared" si="12"/>
        <v>2291459</v>
      </c>
      <c r="D45" s="20">
        <f>1119417+78400</f>
        <v>1197817</v>
      </c>
      <c r="E45" s="73">
        <v>0</v>
      </c>
      <c r="F45" s="20">
        <v>0</v>
      </c>
      <c r="G45" s="73">
        <v>0</v>
      </c>
      <c r="H45" s="20">
        <v>1038885</v>
      </c>
      <c r="I45" s="73">
        <v>0</v>
      </c>
      <c r="J45" s="20">
        <v>0</v>
      </c>
      <c r="K45" s="73">
        <v>0</v>
      </c>
      <c r="L45" s="20">
        <v>54757</v>
      </c>
    </row>
    <row r="46" spans="1:12" ht="51">
      <c r="A46" s="18" t="s">
        <v>251</v>
      </c>
      <c r="B46" s="19" t="s">
        <v>252</v>
      </c>
      <c r="C46" s="17">
        <f t="shared" si="12"/>
        <v>666273</v>
      </c>
      <c r="D46" s="20">
        <f>872432-431598</f>
        <v>440834</v>
      </c>
      <c r="E46" s="73">
        <v>0</v>
      </c>
      <c r="F46" s="20">
        <v>0</v>
      </c>
      <c r="G46" s="73">
        <v>0</v>
      </c>
      <c r="H46" s="20">
        <v>218339</v>
      </c>
      <c r="I46" s="73">
        <v>0</v>
      </c>
      <c r="J46" s="20">
        <v>0</v>
      </c>
      <c r="K46" s="73">
        <v>0</v>
      </c>
      <c r="L46" s="20">
        <v>7100</v>
      </c>
    </row>
    <row r="47" spans="1:12" ht="38.25">
      <c r="A47" s="18" t="s">
        <v>891</v>
      </c>
      <c r="B47" s="19" t="s">
        <v>892</v>
      </c>
      <c r="C47" s="17">
        <f t="shared" si="12"/>
        <v>578892</v>
      </c>
      <c r="D47" s="20">
        <f>578892</f>
        <v>578892</v>
      </c>
      <c r="E47" s="73">
        <v>0</v>
      </c>
      <c r="F47" s="20">
        <v>0</v>
      </c>
      <c r="G47" s="73">
        <v>0</v>
      </c>
      <c r="H47" s="20">
        <v>0</v>
      </c>
      <c r="I47" s="73">
        <v>0</v>
      </c>
      <c r="J47" s="20">
        <v>0</v>
      </c>
      <c r="K47" s="73">
        <v>0</v>
      </c>
      <c r="L47" s="20">
        <v>0</v>
      </c>
    </row>
    <row r="48" spans="1:12" ht="15">
      <c r="A48" s="15" t="s">
        <v>253</v>
      </c>
      <c r="B48" s="16" t="s">
        <v>254</v>
      </c>
      <c r="C48" s="17">
        <f aca="true" t="shared" si="16" ref="C48:C57">SUM(D48:L48)</f>
        <v>2883800</v>
      </c>
      <c r="D48" s="17">
        <f aca="true" t="shared" si="17" ref="D48:L48">SUM(D49:D52)</f>
        <v>674588</v>
      </c>
      <c r="E48" s="76">
        <f t="shared" si="17"/>
        <v>0</v>
      </c>
      <c r="F48" s="28">
        <f t="shared" si="17"/>
        <v>30950</v>
      </c>
      <c r="G48" s="76">
        <f t="shared" si="17"/>
        <v>0</v>
      </c>
      <c r="H48" s="28">
        <f t="shared" si="17"/>
        <v>1914070</v>
      </c>
      <c r="I48" s="76">
        <f t="shared" si="17"/>
        <v>0</v>
      </c>
      <c r="J48" s="28">
        <f t="shared" si="17"/>
        <v>24155</v>
      </c>
      <c r="K48" s="76">
        <f t="shared" si="17"/>
        <v>0</v>
      </c>
      <c r="L48" s="17">
        <f t="shared" si="17"/>
        <v>240037</v>
      </c>
    </row>
    <row r="49" spans="1:12" ht="25.5">
      <c r="A49" s="21" t="s">
        <v>255</v>
      </c>
      <c r="B49" s="22" t="s">
        <v>256</v>
      </c>
      <c r="C49" s="17">
        <f t="shared" si="16"/>
        <v>428130</v>
      </c>
      <c r="D49" s="23">
        <v>372963</v>
      </c>
      <c r="E49" s="73">
        <v>0</v>
      </c>
      <c r="F49" s="20">
        <v>30950</v>
      </c>
      <c r="G49" s="73">
        <v>0</v>
      </c>
      <c r="H49" s="20">
        <v>0</v>
      </c>
      <c r="I49" s="73">
        <v>0</v>
      </c>
      <c r="J49" s="20">
        <v>24155</v>
      </c>
      <c r="K49" s="73">
        <v>0</v>
      </c>
      <c r="L49" s="23">
        <v>62</v>
      </c>
    </row>
    <row r="50" spans="1:12" ht="67.5" customHeight="1">
      <c r="A50" s="18" t="s">
        <v>257</v>
      </c>
      <c r="B50" s="19" t="s">
        <v>258</v>
      </c>
      <c r="C50" s="17">
        <f t="shared" si="16"/>
        <v>689246</v>
      </c>
      <c r="D50" s="23">
        <f>827990-526365</f>
        <v>301625</v>
      </c>
      <c r="E50" s="73">
        <v>0</v>
      </c>
      <c r="F50" s="20">
        <v>0</v>
      </c>
      <c r="G50" s="73">
        <v>0</v>
      </c>
      <c r="H50" s="20">
        <v>163481</v>
      </c>
      <c r="I50" s="73">
        <v>0</v>
      </c>
      <c r="J50" s="20">
        <v>0</v>
      </c>
      <c r="K50" s="73">
        <v>0</v>
      </c>
      <c r="L50" s="23">
        <v>224140</v>
      </c>
    </row>
    <row r="51" spans="1:12" ht="65.25" customHeight="1">
      <c r="A51" s="18" t="s">
        <v>758</v>
      </c>
      <c r="B51" s="19" t="s">
        <v>756</v>
      </c>
      <c r="C51" s="28">
        <f>SUM(D51:L51)</f>
        <v>198865</v>
      </c>
      <c r="D51" s="20">
        <f>230051-230051</f>
        <v>0</v>
      </c>
      <c r="E51" s="73">
        <v>0</v>
      </c>
      <c r="F51" s="20">
        <v>0</v>
      </c>
      <c r="G51" s="73">
        <v>0</v>
      </c>
      <c r="H51" s="20">
        <v>183030</v>
      </c>
      <c r="I51" s="73">
        <v>0</v>
      </c>
      <c r="J51" s="20">
        <v>0</v>
      </c>
      <c r="K51" s="73">
        <v>0</v>
      </c>
      <c r="L51" s="20">
        <v>15835</v>
      </c>
    </row>
    <row r="52" spans="1:12" ht="38.25">
      <c r="A52" s="18" t="s">
        <v>759</v>
      </c>
      <c r="B52" s="19" t="s">
        <v>757</v>
      </c>
      <c r="C52" s="28">
        <f t="shared" si="16"/>
        <v>1567559</v>
      </c>
      <c r="D52" s="20">
        <v>0</v>
      </c>
      <c r="E52" s="73">
        <v>0</v>
      </c>
      <c r="F52" s="20">
        <v>0</v>
      </c>
      <c r="G52" s="73">
        <v>0</v>
      </c>
      <c r="H52" s="20">
        <v>1567559</v>
      </c>
      <c r="I52" s="73">
        <v>0</v>
      </c>
      <c r="J52" s="20">
        <v>0</v>
      </c>
      <c r="K52" s="73">
        <v>0</v>
      </c>
      <c r="L52" s="20">
        <v>0</v>
      </c>
    </row>
    <row r="53" spans="1:12" ht="15">
      <c r="A53" s="26" t="s">
        <v>259</v>
      </c>
      <c r="B53" s="27" t="s">
        <v>260</v>
      </c>
      <c r="C53" s="28">
        <f>SUM(D53:L53)</f>
        <v>2078839</v>
      </c>
      <c r="D53" s="28">
        <f>SUM(D54:D55)</f>
        <v>0</v>
      </c>
      <c r="E53" s="76">
        <f aca="true" t="shared" si="18" ref="E53:L53">SUM(E54:E55)</f>
        <v>0</v>
      </c>
      <c r="F53" s="28">
        <f t="shared" si="18"/>
        <v>106534</v>
      </c>
      <c r="G53" s="76">
        <f t="shared" si="18"/>
        <v>0</v>
      </c>
      <c r="H53" s="28">
        <f t="shared" si="18"/>
        <v>1972305</v>
      </c>
      <c r="I53" s="76">
        <f t="shared" si="18"/>
        <v>0</v>
      </c>
      <c r="J53" s="28">
        <f t="shared" si="18"/>
        <v>0</v>
      </c>
      <c r="K53" s="76">
        <f t="shared" si="18"/>
        <v>0</v>
      </c>
      <c r="L53" s="28">
        <f t="shared" si="18"/>
        <v>0</v>
      </c>
    </row>
    <row r="54" spans="1:12" ht="38.25">
      <c r="A54" s="18" t="s">
        <v>797</v>
      </c>
      <c r="B54" s="19" t="s">
        <v>760</v>
      </c>
      <c r="C54" s="28">
        <f>SUM(D54:L54)</f>
        <v>1972305</v>
      </c>
      <c r="D54" s="20">
        <f>2196032-2196032</f>
        <v>0</v>
      </c>
      <c r="E54" s="73">
        <v>0</v>
      </c>
      <c r="F54" s="20">
        <v>0</v>
      </c>
      <c r="G54" s="73">
        <v>0</v>
      </c>
      <c r="H54" s="20">
        <v>1972305</v>
      </c>
      <c r="I54" s="73">
        <v>0</v>
      </c>
      <c r="J54" s="20">
        <v>0</v>
      </c>
      <c r="K54" s="73">
        <v>0</v>
      </c>
      <c r="L54" s="20">
        <v>0</v>
      </c>
    </row>
    <row r="55" spans="1:12" ht="25.5">
      <c r="A55" s="18" t="s">
        <v>798</v>
      </c>
      <c r="B55" s="19" t="s">
        <v>799</v>
      </c>
      <c r="C55" s="28">
        <f>SUM(D55:L55)</f>
        <v>106534</v>
      </c>
      <c r="D55" s="20">
        <v>0</v>
      </c>
      <c r="E55" s="73">
        <v>0</v>
      </c>
      <c r="F55" s="20">
        <f>106534</f>
        <v>106534</v>
      </c>
      <c r="G55" s="73">
        <v>0</v>
      </c>
      <c r="H55" s="20">
        <v>0</v>
      </c>
      <c r="I55" s="73">
        <v>0</v>
      </c>
      <c r="J55" s="20">
        <v>0</v>
      </c>
      <c r="K55" s="73">
        <v>0</v>
      </c>
      <c r="L55" s="20">
        <v>0</v>
      </c>
    </row>
    <row r="56" spans="1:12" ht="25.5">
      <c r="A56" s="15" t="s">
        <v>263</v>
      </c>
      <c r="B56" s="16" t="s">
        <v>264</v>
      </c>
      <c r="C56" s="17">
        <f t="shared" si="16"/>
        <v>139900</v>
      </c>
      <c r="D56" s="17">
        <f aca="true" t="shared" si="19" ref="D56:L56">SUM(D57:D59)</f>
        <v>139900</v>
      </c>
      <c r="E56" s="76">
        <f t="shared" si="19"/>
        <v>0</v>
      </c>
      <c r="F56" s="28">
        <f t="shared" si="19"/>
        <v>0</v>
      </c>
      <c r="G56" s="76">
        <f t="shared" si="19"/>
        <v>0</v>
      </c>
      <c r="H56" s="28">
        <f t="shared" si="19"/>
        <v>0</v>
      </c>
      <c r="I56" s="76">
        <f t="shared" si="19"/>
        <v>0</v>
      </c>
      <c r="J56" s="28">
        <f t="shared" si="19"/>
        <v>0</v>
      </c>
      <c r="K56" s="76">
        <f t="shared" si="19"/>
        <v>0</v>
      </c>
      <c r="L56" s="17">
        <f t="shared" si="19"/>
        <v>0</v>
      </c>
    </row>
    <row r="57" spans="1:12" ht="38.25">
      <c r="A57" s="21" t="s">
        <v>265</v>
      </c>
      <c r="B57" s="22" t="s">
        <v>266</v>
      </c>
      <c r="C57" s="17">
        <f t="shared" si="16"/>
        <v>39900</v>
      </c>
      <c r="D57" s="23">
        <v>39900</v>
      </c>
      <c r="E57" s="73">
        <v>0</v>
      </c>
      <c r="F57" s="20">
        <v>0</v>
      </c>
      <c r="G57" s="73">
        <v>0</v>
      </c>
      <c r="H57" s="20">
        <v>0</v>
      </c>
      <c r="I57" s="73">
        <v>0</v>
      </c>
      <c r="J57" s="20">
        <v>0</v>
      </c>
      <c r="K57" s="73">
        <v>0</v>
      </c>
      <c r="L57" s="20">
        <v>0</v>
      </c>
    </row>
    <row r="58" spans="1:12" ht="25.5" hidden="1">
      <c r="A58" s="30" t="s">
        <v>267</v>
      </c>
      <c r="B58" s="31" t="s">
        <v>268</v>
      </c>
      <c r="C58" s="74">
        <f aca="true" t="shared" si="20" ref="C58:C71">SUM(D58:L58)</f>
        <v>0</v>
      </c>
      <c r="D58" s="32">
        <v>0</v>
      </c>
      <c r="E58" s="75"/>
      <c r="F58" s="32">
        <v>0</v>
      </c>
      <c r="G58" s="75"/>
      <c r="H58" s="32">
        <v>0</v>
      </c>
      <c r="I58" s="75"/>
      <c r="J58" s="32">
        <v>0</v>
      </c>
      <c r="K58" s="75"/>
      <c r="L58" s="32">
        <v>0</v>
      </c>
    </row>
    <row r="59" spans="1:12" ht="51">
      <c r="A59" s="21" t="s">
        <v>269</v>
      </c>
      <c r="B59" s="19" t="s">
        <v>270</v>
      </c>
      <c r="C59" s="17">
        <f t="shared" si="20"/>
        <v>100000</v>
      </c>
      <c r="D59" s="23">
        <v>100000</v>
      </c>
      <c r="E59" s="73">
        <v>0</v>
      </c>
      <c r="F59" s="20">
        <v>0</v>
      </c>
      <c r="G59" s="73">
        <v>0</v>
      </c>
      <c r="H59" s="20">
        <v>0</v>
      </c>
      <c r="I59" s="73">
        <v>0</v>
      </c>
      <c r="J59" s="20">
        <v>0</v>
      </c>
      <c r="K59" s="73">
        <v>0</v>
      </c>
      <c r="L59" s="20">
        <v>0</v>
      </c>
    </row>
    <row r="60" spans="1:12" ht="15">
      <c r="A60" s="68" t="s">
        <v>168</v>
      </c>
      <c r="B60" s="69" t="s">
        <v>169</v>
      </c>
      <c r="C60" s="70">
        <f t="shared" si="20"/>
        <v>4855740</v>
      </c>
      <c r="D60" s="70">
        <f>D61+D64+D66+D69</f>
        <v>3087702</v>
      </c>
      <c r="E60" s="71">
        <f>E61+E64+E66+E69</f>
        <v>0</v>
      </c>
      <c r="F60" s="70">
        <f aca="true" t="shared" si="21" ref="F60:L60">F61+F64+F66+F69</f>
        <v>0</v>
      </c>
      <c r="G60" s="71">
        <f t="shared" si="21"/>
        <v>0</v>
      </c>
      <c r="H60" s="70">
        <f t="shared" si="21"/>
        <v>1672011</v>
      </c>
      <c r="I60" s="71">
        <f t="shared" si="21"/>
        <v>0</v>
      </c>
      <c r="J60" s="70">
        <f t="shared" si="21"/>
        <v>0</v>
      </c>
      <c r="K60" s="71">
        <f t="shared" si="21"/>
        <v>0</v>
      </c>
      <c r="L60" s="70">
        <f t="shared" si="21"/>
        <v>96027</v>
      </c>
    </row>
    <row r="61" spans="1:12" ht="15">
      <c r="A61" s="15" t="s">
        <v>271</v>
      </c>
      <c r="B61" s="16" t="s">
        <v>272</v>
      </c>
      <c r="C61" s="17">
        <f t="shared" si="20"/>
        <v>1841473</v>
      </c>
      <c r="D61" s="17">
        <f>SUM(D62:D63)</f>
        <v>1840653</v>
      </c>
      <c r="E61" s="72">
        <f aca="true" t="shared" si="22" ref="E61:L61">SUM(E62:E63)</f>
        <v>0</v>
      </c>
      <c r="F61" s="17">
        <f t="shared" si="22"/>
        <v>0</v>
      </c>
      <c r="G61" s="72">
        <f t="shared" si="22"/>
        <v>0</v>
      </c>
      <c r="H61" s="17">
        <f t="shared" si="22"/>
        <v>0</v>
      </c>
      <c r="I61" s="72">
        <f t="shared" si="22"/>
        <v>0</v>
      </c>
      <c r="J61" s="17">
        <f t="shared" si="22"/>
        <v>0</v>
      </c>
      <c r="K61" s="72">
        <f t="shared" si="22"/>
        <v>0</v>
      </c>
      <c r="L61" s="17">
        <f t="shared" si="22"/>
        <v>820</v>
      </c>
    </row>
    <row r="62" spans="1:12" ht="38.25">
      <c r="A62" s="21" t="s">
        <v>273</v>
      </c>
      <c r="B62" s="22" t="s">
        <v>274</v>
      </c>
      <c r="C62" s="17">
        <f t="shared" si="20"/>
        <v>1255926</v>
      </c>
      <c r="D62" s="23">
        <f>1144884+63222+47000</f>
        <v>1255106</v>
      </c>
      <c r="E62" s="73">
        <v>0</v>
      </c>
      <c r="F62" s="20">
        <v>0</v>
      </c>
      <c r="G62" s="82">
        <v>0</v>
      </c>
      <c r="H62" s="20">
        <v>0</v>
      </c>
      <c r="I62" s="82">
        <v>0</v>
      </c>
      <c r="J62" s="20">
        <v>0</v>
      </c>
      <c r="K62" s="82">
        <v>0</v>
      </c>
      <c r="L62" s="20">
        <v>820</v>
      </c>
    </row>
    <row r="63" spans="1:12" ht="25.5">
      <c r="A63" s="21" t="s">
        <v>275</v>
      </c>
      <c r="B63" s="22" t="s">
        <v>276</v>
      </c>
      <c r="C63" s="17">
        <f t="shared" si="20"/>
        <v>585547</v>
      </c>
      <c r="D63" s="23">
        <f>566905+18642</f>
        <v>585547</v>
      </c>
      <c r="E63" s="73">
        <v>0</v>
      </c>
      <c r="F63" s="20">
        <v>0</v>
      </c>
      <c r="G63" s="73">
        <v>0</v>
      </c>
      <c r="H63" s="20">
        <v>0</v>
      </c>
      <c r="I63" s="73">
        <v>0</v>
      </c>
      <c r="J63" s="20">
        <v>0</v>
      </c>
      <c r="K63" s="73">
        <v>0</v>
      </c>
      <c r="L63" s="20">
        <v>0</v>
      </c>
    </row>
    <row r="64" spans="1:12" ht="15">
      <c r="A64" s="15" t="s">
        <v>277</v>
      </c>
      <c r="B64" s="16" t="s">
        <v>278</v>
      </c>
      <c r="C64" s="28">
        <f>SUM(D64:L64)</f>
        <v>456594</v>
      </c>
      <c r="D64" s="28">
        <f>D65</f>
        <v>456594</v>
      </c>
      <c r="E64" s="76">
        <f aca="true" t="shared" si="23" ref="E64:L64">E65</f>
        <v>0</v>
      </c>
      <c r="F64" s="28">
        <f t="shared" si="23"/>
        <v>0</v>
      </c>
      <c r="G64" s="76">
        <f t="shared" si="23"/>
        <v>0</v>
      </c>
      <c r="H64" s="28">
        <f t="shared" si="23"/>
        <v>0</v>
      </c>
      <c r="I64" s="76">
        <f t="shared" si="23"/>
        <v>0</v>
      </c>
      <c r="J64" s="28">
        <f t="shared" si="23"/>
        <v>0</v>
      </c>
      <c r="K64" s="76">
        <f t="shared" si="23"/>
        <v>0</v>
      </c>
      <c r="L64" s="28">
        <f t="shared" si="23"/>
        <v>0</v>
      </c>
    </row>
    <row r="65" spans="1:12" ht="15">
      <c r="A65" s="21" t="s">
        <v>279</v>
      </c>
      <c r="B65" s="22" t="s">
        <v>278</v>
      </c>
      <c r="C65" s="17">
        <f t="shared" si="20"/>
        <v>456594</v>
      </c>
      <c r="D65" s="23">
        <f>455744+850</f>
        <v>456594</v>
      </c>
      <c r="E65" s="73">
        <v>0</v>
      </c>
      <c r="F65" s="20">
        <v>0</v>
      </c>
      <c r="G65" s="73">
        <v>0</v>
      </c>
      <c r="H65" s="20">
        <v>0</v>
      </c>
      <c r="I65" s="73">
        <v>0</v>
      </c>
      <c r="J65" s="20">
        <v>0</v>
      </c>
      <c r="K65" s="73">
        <v>0</v>
      </c>
      <c r="L65" s="20">
        <v>0</v>
      </c>
    </row>
    <row r="66" spans="1:12" ht="25.5">
      <c r="A66" s="26" t="s">
        <v>280</v>
      </c>
      <c r="B66" s="27" t="s">
        <v>281</v>
      </c>
      <c r="C66" s="28">
        <f>SUM(D66:L66)</f>
        <v>2219845</v>
      </c>
      <c r="D66" s="28">
        <f aca="true" t="shared" si="24" ref="D66:L66">SUM(D67:D68)</f>
        <v>766763</v>
      </c>
      <c r="E66" s="76">
        <f t="shared" si="24"/>
        <v>0</v>
      </c>
      <c r="F66" s="28">
        <f t="shared" si="24"/>
        <v>0</v>
      </c>
      <c r="G66" s="76">
        <f t="shared" si="24"/>
        <v>0</v>
      </c>
      <c r="H66" s="28">
        <f t="shared" si="24"/>
        <v>1357875</v>
      </c>
      <c r="I66" s="76">
        <f t="shared" si="24"/>
        <v>0</v>
      </c>
      <c r="J66" s="28">
        <f t="shared" si="24"/>
        <v>0</v>
      </c>
      <c r="K66" s="76">
        <f t="shared" si="24"/>
        <v>0</v>
      </c>
      <c r="L66" s="28">
        <f t="shared" si="24"/>
        <v>95207</v>
      </c>
    </row>
    <row r="67" spans="1:12" ht="51">
      <c r="A67" s="18" t="s">
        <v>282</v>
      </c>
      <c r="B67" s="19" t="s">
        <v>761</v>
      </c>
      <c r="C67" s="28">
        <f>SUM(D67:L67)</f>
        <v>162845</v>
      </c>
      <c r="D67" s="20">
        <f>135000+27845</f>
        <v>162845</v>
      </c>
      <c r="E67" s="73">
        <v>0</v>
      </c>
      <c r="F67" s="20">
        <v>0</v>
      </c>
      <c r="G67" s="73">
        <v>0</v>
      </c>
      <c r="H67" s="20">
        <v>0</v>
      </c>
      <c r="I67" s="73">
        <v>0</v>
      </c>
      <c r="J67" s="20">
        <v>0</v>
      </c>
      <c r="K67" s="73">
        <v>0</v>
      </c>
      <c r="L67" s="20">
        <v>0</v>
      </c>
    </row>
    <row r="68" spans="1:12" ht="51">
      <c r="A68" s="18" t="s">
        <v>283</v>
      </c>
      <c r="B68" s="19" t="s">
        <v>284</v>
      </c>
      <c r="C68" s="28">
        <f t="shared" si="20"/>
        <v>2057000</v>
      </c>
      <c r="D68" s="20">
        <f>968452-364534</f>
        <v>603918</v>
      </c>
      <c r="E68" s="73">
        <v>0</v>
      </c>
      <c r="F68" s="20">
        <v>0</v>
      </c>
      <c r="G68" s="73">
        <v>0</v>
      </c>
      <c r="H68" s="20">
        <f>1272189+85686</f>
        <v>1357875</v>
      </c>
      <c r="I68" s="73">
        <v>0</v>
      </c>
      <c r="J68" s="20">
        <v>0</v>
      </c>
      <c r="K68" s="73">
        <v>0</v>
      </c>
      <c r="L68" s="20">
        <v>95207</v>
      </c>
    </row>
    <row r="69" spans="1:12" ht="25.5">
      <c r="A69" s="15" t="s">
        <v>285</v>
      </c>
      <c r="B69" s="16" t="s">
        <v>286</v>
      </c>
      <c r="C69" s="17">
        <f t="shared" si="20"/>
        <v>337828</v>
      </c>
      <c r="D69" s="17">
        <f>SUM(D70:D71)</f>
        <v>23692</v>
      </c>
      <c r="E69" s="76">
        <f aca="true" t="shared" si="25" ref="E69:L69">SUM(E70:E71)</f>
        <v>0</v>
      </c>
      <c r="F69" s="28">
        <f t="shared" si="25"/>
        <v>0</v>
      </c>
      <c r="G69" s="76">
        <f t="shared" si="25"/>
        <v>0</v>
      </c>
      <c r="H69" s="28">
        <f t="shared" si="25"/>
        <v>314136</v>
      </c>
      <c r="I69" s="76">
        <f t="shared" si="25"/>
        <v>0</v>
      </c>
      <c r="J69" s="28">
        <f t="shared" si="25"/>
        <v>0</v>
      </c>
      <c r="K69" s="76">
        <f t="shared" si="25"/>
        <v>0</v>
      </c>
      <c r="L69" s="28">
        <f t="shared" si="25"/>
        <v>0</v>
      </c>
    </row>
    <row r="70" spans="1:12" ht="89.25">
      <c r="A70" s="21" t="s">
        <v>287</v>
      </c>
      <c r="B70" s="22" t="s">
        <v>762</v>
      </c>
      <c r="C70" s="83">
        <f>SUM(D70:L70)</f>
        <v>314136</v>
      </c>
      <c r="D70" s="84">
        <v>0</v>
      </c>
      <c r="E70" s="85">
        <v>0</v>
      </c>
      <c r="F70" s="20">
        <v>0</v>
      </c>
      <c r="G70" s="85">
        <v>0</v>
      </c>
      <c r="H70" s="20">
        <v>314136</v>
      </c>
      <c r="I70" s="85">
        <v>0</v>
      </c>
      <c r="J70" s="20">
        <v>0</v>
      </c>
      <c r="K70" s="85">
        <v>0</v>
      </c>
      <c r="L70" s="40">
        <v>0</v>
      </c>
    </row>
    <row r="71" spans="1:12" ht="29.25" customHeight="1">
      <c r="A71" s="21" t="s">
        <v>288</v>
      </c>
      <c r="B71" s="19" t="s">
        <v>289</v>
      </c>
      <c r="C71" s="37">
        <f t="shared" si="20"/>
        <v>23692</v>
      </c>
      <c r="D71" s="40">
        <f>46669-22977</f>
        <v>23692</v>
      </c>
      <c r="E71" s="73">
        <v>0</v>
      </c>
      <c r="F71" s="20">
        <v>0</v>
      </c>
      <c r="G71" s="73">
        <v>0</v>
      </c>
      <c r="H71" s="20">
        <v>0</v>
      </c>
      <c r="I71" s="73">
        <v>0</v>
      </c>
      <c r="J71" s="20">
        <v>0</v>
      </c>
      <c r="K71" s="73">
        <v>0</v>
      </c>
      <c r="L71" s="20">
        <v>0</v>
      </c>
    </row>
    <row r="72" spans="1:12" ht="25.5">
      <c r="A72" s="68" t="s">
        <v>170</v>
      </c>
      <c r="B72" s="69" t="s">
        <v>171</v>
      </c>
      <c r="C72" s="70">
        <f aca="true" t="shared" si="26" ref="C72:C81">SUM(D72:L72)</f>
        <v>6159780</v>
      </c>
      <c r="D72" s="70">
        <f>D73+D75+D77+D80</f>
        <v>5707530</v>
      </c>
      <c r="E72" s="71">
        <f aca="true" t="shared" si="27" ref="E72:L72">E73+E75+E77+E80</f>
        <v>-16210</v>
      </c>
      <c r="F72" s="70">
        <f t="shared" si="27"/>
        <v>106086</v>
      </c>
      <c r="G72" s="71">
        <f t="shared" si="27"/>
        <v>2000</v>
      </c>
      <c r="H72" s="70">
        <f t="shared" si="27"/>
        <v>0</v>
      </c>
      <c r="I72" s="71">
        <f t="shared" si="27"/>
        <v>0</v>
      </c>
      <c r="J72" s="70">
        <f t="shared" si="27"/>
        <v>0</v>
      </c>
      <c r="K72" s="71">
        <f t="shared" si="27"/>
        <v>0</v>
      </c>
      <c r="L72" s="70">
        <f t="shared" si="27"/>
        <v>360374</v>
      </c>
    </row>
    <row r="73" spans="1:12" ht="15">
      <c r="A73" s="15" t="s">
        <v>801</v>
      </c>
      <c r="B73" s="16" t="s">
        <v>800</v>
      </c>
      <c r="C73" s="28">
        <f>SUM(D73:L73)</f>
        <v>1346341</v>
      </c>
      <c r="D73" s="28">
        <f>D74</f>
        <v>1346341</v>
      </c>
      <c r="E73" s="76">
        <f aca="true" t="shared" si="28" ref="E73:L75">E74</f>
        <v>0</v>
      </c>
      <c r="F73" s="28">
        <f t="shared" si="28"/>
        <v>0</v>
      </c>
      <c r="G73" s="76">
        <f t="shared" si="28"/>
        <v>0</v>
      </c>
      <c r="H73" s="28">
        <f t="shared" si="28"/>
        <v>0</v>
      </c>
      <c r="I73" s="76">
        <f t="shared" si="28"/>
        <v>0</v>
      </c>
      <c r="J73" s="28">
        <f t="shared" si="28"/>
        <v>0</v>
      </c>
      <c r="K73" s="76">
        <f t="shared" si="28"/>
        <v>0</v>
      </c>
      <c r="L73" s="28">
        <f t="shared" si="28"/>
        <v>0</v>
      </c>
    </row>
    <row r="74" spans="1:12" ht="38.25">
      <c r="A74" s="21" t="s">
        <v>802</v>
      </c>
      <c r="B74" s="22" t="s">
        <v>803</v>
      </c>
      <c r="C74" s="17">
        <f>SUM(D74:L74)</f>
        <v>1346341</v>
      </c>
      <c r="D74" s="23">
        <f>201951+1144390</f>
        <v>1346341</v>
      </c>
      <c r="E74" s="73">
        <v>0</v>
      </c>
      <c r="F74" s="20">
        <v>0</v>
      </c>
      <c r="G74" s="73">
        <v>0</v>
      </c>
      <c r="H74" s="20">
        <v>0</v>
      </c>
      <c r="I74" s="73">
        <v>0</v>
      </c>
      <c r="J74" s="20">
        <v>0</v>
      </c>
      <c r="K74" s="73">
        <v>0</v>
      </c>
      <c r="L74" s="20">
        <v>0</v>
      </c>
    </row>
    <row r="75" spans="1:12" ht="15">
      <c r="A75" s="15" t="s">
        <v>290</v>
      </c>
      <c r="B75" s="16" t="s">
        <v>291</v>
      </c>
      <c r="C75" s="28">
        <f t="shared" si="26"/>
        <v>576950</v>
      </c>
      <c r="D75" s="28">
        <f>D76</f>
        <v>595238</v>
      </c>
      <c r="E75" s="76">
        <f t="shared" si="28"/>
        <v>-18288</v>
      </c>
      <c r="F75" s="28">
        <f t="shared" si="28"/>
        <v>0</v>
      </c>
      <c r="G75" s="76">
        <f t="shared" si="28"/>
        <v>0</v>
      </c>
      <c r="H75" s="28">
        <f t="shared" si="28"/>
        <v>0</v>
      </c>
      <c r="I75" s="76">
        <f t="shared" si="28"/>
        <v>0</v>
      </c>
      <c r="J75" s="28">
        <f t="shared" si="28"/>
        <v>0</v>
      </c>
      <c r="K75" s="76">
        <f t="shared" si="28"/>
        <v>0</v>
      </c>
      <c r="L75" s="28">
        <f t="shared" si="28"/>
        <v>0</v>
      </c>
    </row>
    <row r="76" spans="1:12" ht="25.5">
      <c r="A76" s="21" t="s">
        <v>292</v>
      </c>
      <c r="B76" s="22" t="s">
        <v>293</v>
      </c>
      <c r="C76" s="17">
        <f t="shared" si="26"/>
        <v>576950</v>
      </c>
      <c r="D76" s="23">
        <f>730369-220669+85538</f>
        <v>595238</v>
      </c>
      <c r="E76" s="73">
        <f>-8470-9818</f>
        <v>-18288</v>
      </c>
      <c r="F76" s="20">
        <v>0</v>
      </c>
      <c r="G76" s="73">
        <v>0</v>
      </c>
      <c r="H76" s="20">
        <v>0</v>
      </c>
      <c r="I76" s="73">
        <v>0</v>
      </c>
      <c r="J76" s="20">
        <v>0</v>
      </c>
      <c r="K76" s="73">
        <v>0</v>
      </c>
      <c r="L76" s="20">
        <v>0</v>
      </c>
    </row>
    <row r="77" spans="1:12" ht="15">
      <c r="A77" s="15" t="s">
        <v>294</v>
      </c>
      <c r="B77" s="16" t="s">
        <v>295</v>
      </c>
      <c r="C77" s="28">
        <f t="shared" si="26"/>
        <v>1236189</v>
      </c>
      <c r="D77" s="28">
        <f>D78+D79</f>
        <v>915832</v>
      </c>
      <c r="E77" s="76">
        <f aca="true" t="shared" si="29" ref="E77:L77">E78+E79</f>
        <v>0</v>
      </c>
      <c r="F77" s="28">
        <f t="shared" si="29"/>
        <v>0</v>
      </c>
      <c r="G77" s="76">
        <f t="shared" si="29"/>
        <v>0</v>
      </c>
      <c r="H77" s="28">
        <f t="shared" si="29"/>
        <v>0</v>
      </c>
      <c r="I77" s="76">
        <f t="shared" si="29"/>
        <v>0</v>
      </c>
      <c r="J77" s="28">
        <f t="shared" si="29"/>
        <v>0</v>
      </c>
      <c r="K77" s="76">
        <f t="shared" si="29"/>
        <v>0</v>
      </c>
      <c r="L77" s="28">
        <f t="shared" si="29"/>
        <v>320357</v>
      </c>
    </row>
    <row r="78" spans="1:12" ht="15">
      <c r="A78" s="21" t="s">
        <v>296</v>
      </c>
      <c r="B78" s="22" t="s">
        <v>295</v>
      </c>
      <c r="C78" s="17">
        <f t="shared" si="26"/>
        <v>667774</v>
      </c>
      <c r="D78" s="23">
        <f>652774+15000</f>
        <v>667774</v>
      </c>
      <c r="E78" s="73">
        <v>0</v>
      </c>
      <c r="F78" s="20">
        <v>0</v>
      </c>
      <c r="G78" s="73">
        <v>0</v>
      </c>
      <c r="H78" s="20">
        <v>0</v>
      </c>
      <c r="I78" s="73">
        <v>0</v>
      </c>
      <c r="J78" s="20">
        <v>0</v>
      </c>
      <c r="K78" s="73">
        <v>0</v>
      </c>
      <c r="L78" s="20">
        <v>0</v>
      </c>
    </row>
    <row r="79" spans="1:12" ht="64.5" customHeight="1">
      <c r="A79" s="21" t="s">
        <v>297</v>
      </c>
      <c r="B79" s="22" t="s">
        <v>298</v>
      </c>
      <c r="C79" s="17">
        <f t="shared" si="26"/>
        <v>568415</v>
      </c>
      <c r="D79" s="23">
        <v>248058</v>
      </c>
      <c r="E79" s="73">
        <v>0</v>
      </c>
      <c r="F79" s="20">
        <v>0</v>
      </c>
      <c r="G79" s="73">
        <v>0</v>
      </c>
      <c r="H79" s="20">
        <v>0</v>
      </c>
      <c r="I79" s="73">
        <v>0</v>
      </c>
      <c r="J79" s="20">
        <v>0</v>
      </c>
      <c r="K79" s="82">
        <v>0</v>
      </c>
      <c r="L79" s="20">
        <v>320357</v>
      </c>
    </row>
    <row r="80" spans="1:12" ht="38.25">
      <c r="A80" s="15" t="s">
        <v>299</v>
      </c>
      <c r="B80" s="16" t="s">
        <v>300</v>
      </c>
      <c r="C80" s="17">
        <f t="shared" si="26"/>
        <v>3000300</v>
      </c>
      <c r="D80" s="17">
        <f>SUM(D81:D87)</f>
        <v>2850119</v>
      </c>
      <c r="E80" s="76">
        <f aca="true" t="shared" si="30" ref="E80:L80">SUM(E81:E87)</f>
        <v>2078</v>
      </c>
      <c r="F80" s="28">
        <f t="shared" si="30"/>
        <v>106086</v>
      </c>
      <c r="G80" s="76">
        <f t="shared" si="30"/>
        <v>2000</v>
      </c>
      <c r="H80" s="28">
        <f t="shared" si="30"/>
        <v>0</v>
      </c>
      <c r="I80" s="76">
        <f t="shared" si="30"/>
        <v>0</v>
      </c>
      <c r="J80" s="17">
        <f t="shared" si="30"/>
        <v>0</v>
      </c>
      <c r="K80" s="72">
        <f t="shared" si="30"/>
        <v>0</v>
      </c>
      <c r="L80" s="17">
        <f t="shared" si="30"/>
        <v>40017</v>
      </c>
    </row>
    <row r="81" spans="1:12" ht="25.5">
      <c r="A81" s="21" t="s">
        <v>301</v>
      </c>
      <c r="B81" s="22" t="s">
        <v>302</v>
      </c>
      <c r="C81" s="17">
        <f t="shared" si="26"/>
        <v>968421</v>
      </c>
      <c r="D81" s="23">
        <f>851001+16493+21500</f>
        <v>888994</v>
      </c>
      <c r="E81" s="73">
        <v>0</v>
      </c>
      <c r="F81" s="20">
        <f>65340-9500</f>
        <v>55840</v>
      </c>
      <c r="G81" s="73">
        <v>2000</v>
      </c>
      <c r="H81" s="20">
        <v>0</v>
      </c>
      <c r="I81" s="73">
        <v>0</v>
      </c>
      <c r="J81" s="20">
        <v>0</v>
      </c>
      <c r="K81" s="82">
        <v>0</v>
      </c>
      <c r="L81" s="23">
        <v>21587</v>
      </c>
    </row>
    <row r="82" spans="1:12" ht="25.5">
      <c r="A82" s="21" t="s">
        <v>303</v>
      </c>
      <c r="B82" s="22" t="s">
        <v>823</v>
      </c>
      <c r="C82" s="17">
        <f aca="true" t="shared" si="31" ref="C82:C87">SUM(D82:L82)</f>
        <v>1458466</v>
      </c>
      <c r="D82" s="23">
        <f>1432523+15000+14943-4000</f>
        <v>1458466</v>
      </c>
      <c r="E82" s="73">
        <v>0</v>
      </c>
      <c r="F82" s="20">
        <v>0</v>
      </c>
      <c r="G82" s="73">
        <v>0</v>
      </c>
      <c r="H82" s="20">
        <v>0</v>
      </c>
      <c r="I82" s="73">
        <v>0</v>
      </c>
      <c r="J82" s="20">
        <v>0</v>
      </c>
      <c r="K82" s="73">
        <v>0</v>
      </c>
      <c r="L82" s="20">
        <v>0</v>
      </c>
    </row>
    <row r="83" spans="1:12" ht="25.5">
      <c r="A83" s="21" t="s">
        <v>304</v>
      </c>
      <c r="B83" s="22" t="s">
        <v>305</v>
      </c>
      <c r="C83" s="17">
        <f t="shared" si="31"/>
        <v>261103</v>
      </c>
      <c r="D83" s="23">
        <f>212366+4659+42000</f>
        <v>259025</v>
      </c>
      <c r="E83" s="73">
        <v>2078</v>
      </c>
      <c r="F83" s="20">
        <v>0</v>
      </c>
      <c r="G83" s="73">
        <v>0</v>
      </c>
      <c r="H83" s="20">
        <v>0</v>
      </c>
      <c r="I83" s="73">
        <v>0</v>
      </c>
      <c r="J83" s="20">
        <v>0</v>
      </c>
      <c r="K83" s="73">
        <v>0</v>
      </c>
      <c r="L83" s="20">
        <v>0</v>
      </c>
    </row>
    <row r="84" spans="1:12" ht="38.25">
      <c r="A84" s="21" t="s">
        <v>306</v>
      </c>
      <c r="B84" s="22" t="s">
        <v>307</v>
      </c>
      <c r="C84" s="17">
        <f t="shared" si="31"/>
        <v>282382</v>
      </c>
      <c r="D84" s="23">
        <v>219134</v>
      </c>
      <c r="E84" s="73">
        <v>0</v>
      </c>
      <c r="F84" s="20">
        <f>40000+10000</f>
        <v>50000</v>
      </c>
      <c r="G84" s="73">
        <v>0</v>
      </c>
      <c r="H84" s="20">
        <v>0</v>
      </c>
      <c r="I84" s="73">
        <v>0</v>
      </c>
      <c r="J84" s="20">
        <v>0</v>
      </c>
      <c r="K84" s="82">
        <v>0</v>
      </c>
      <c r="L84" s="23">
        <v>13248</v>
      </c>
    </row>
    <row r="85" spans="1:12" ht="38.25">
      <c r="A85" s="21" t="s">
        <v>308</v>
      </c>
      <c r="B85" s="22" t="s">
        <v>309</v>
      </c>
      <c r="C85" s="17">
        <f t="shared" si="31"/>
        <v>9500</v>
      </c>
      <c r="D85" s="23">
        <v>9500</v>
      </c>
      <c r="E85" s="73">
        <v>0</v>
      </c>
      <c r="F85" s="20">
        <v>0</v>
      </c>
      <c r="G85" s="73">
        <v>0</v>
      </c>
      <c r="H85" s="20">
        <v>0</v>
      </c>
      <c r="I85" s="73">
        <v>0</v>
      </c>
      <c r="J85" s="20">
        <v>0</v>
      </c>
      <c r="K85" s="82">
        <v>0</v>
      </c>
      <c r="L85" s="20">
        <v>0</v>
      </c>
    </row>
    <row r="86" spans="1:12" ht="63.75">
      <c r="A86" s="21" t="s">
        <v>310</v>
      </c>
      <c r="B86" s="22" t="s">
        <v>311</v>
      </c>
      <c r="C86" s="17">
        <f t="shared" si="31"/>
        <v>15000</v>
      </c>
      <c r="D86" s="23">
        <v>15000</v>
      </c>
      <c r="E86" s="73">
        <v>0</v>
      </c>
      <c r="F86" s="20">
        <v>0</v>
      </c>
      <c r="G86" s="73">
        <v>0</v>
      </c>
      <c r="H86" s="20">
        <v>0</v>
      </c>
      <c r="I86" s="73">
        <v>0</v>
      </c>
      <c r="J86" s="20">
        <v>0</v>
      </c>
      <c r="K86" s="82">
        <v>0</v>
      </c>
      <c r="L86" s="20">
        <v>0</v>
      </c>
    </row>
    <row r="87" spans="1:12" ht="51">
      <c r="A87" s="21" t="s">
        <v>312</v>
      </c>
      <c r="B87" s="22" t="s">
        <v>313</v>
      </c>
      <c r="C87" s="17">
        <f t="shared" si="31"/>
        <v>5428</v>
      </c>
      <c r="D87" s="23">
        <v>0</v>
      </c>
      <c r="E87" s="73">
        <v>0</v>
      </c>
      <c r="F87" s="20">
        <f>246</f>
        <v>246</v>
      </c>
      <c r="G87" s="73">
        <v>0</v>
      </c>
      <c r="H87" s="20">
        <v>0</v>
      </c>
      <c r="I87" s="73">
        <v>0</v>
      </c>
      <c r="J87" s="20">
        <v>0</v>
      </c>
      <c r="K87" s="82">
        <v>0</v>
      </c>
      <c r="L87" s="23">
        <v>5182</v>
      </c>
    </row>
    <row r="88" spans="1:12" ht="15">
      <c r="A88" s="68" t="s">
        <v>172</v>
      </c>
      <c r="B88" s="69" t="s">
        <v>173</v>
      </c>
      <c r="C88" s="70">
        <f aca="true" t="shared" si="32" ref="C88:C95">SUM(D88:L88)</f>
        <v>263902</v>
      </c>
      <c r="D88" s="70">
        <f aca="true" t="shared" si="33" ref="D88:K88">SUM(D89:D94)</f>
        <v>124477</v>
      </c>
      <c r="E88" s="71">
        <f t="shared" si="33"/>
        <v>11818</v>
      </c>
      <c r="F88" s="70">
        <f t="shared" si="33"/>
        <v>0</v>
      </c>
      <c r="G88" s="71">
        <f t="shared" si="33"/>
        <v>0</v>
      </c>
      <c r="H88" s="70">
        <f t="shared" si="33"/>
        <v>108016</v>
      </c>
      <c r="I88" s="71">
        <f t="shared" si="33"/>
        <v>0</v>
      </c>
      <c r="J88" s="70">
        <f t="shared" si="33"/>
        <v>0</v>
      </c>
      <c r="K88" s="71">
        <f t="shared" si="33"/>
        <v>0</v>
      </c>
      <c r="L88" s="70">
        <f>SUM(L89:L94)</f>
        <v>19591</v>
      </c>
    </row>
    <row r="89" spans="1:12" ht="15">
      <c r="A89" s="21" t="s">
        <v>314</v>
      </c>
      <c r="B89" s="22" t="s">
        <v>315</v>
      </c>
      <c r="C89" s="17">
        <f t="shared" si="32"/>
        <v>72300</v>
      </c>
      <c r="D89" s="23">
        <v>70300</v>
      </c>
      <c r="E89" s="73">
        <v>2000</v>
      </c>
      <c r="F89" s="20">
        <v>0</v>
      </c>
      <c r="G89" s="73">
        <v>0</v>
      </c>
      <c r="H89" s="20">
        <v>0</v>
      </c>
      <c r="I89" s="73">
        <v>0</v>
      </c>
      <c r="J89" s="20">
        <v>0</v>
      </c>
      <c r="K89" s="82">
        <v>0</v>
      </c>
      <c r="L89" s="20">
        <v>0</v>
      </c>
    </row>
    <row r="90" spans="1:12" ht="25.5">
      <c r="A90" s="21" t="s">
        <v>316</v>
      </c>
      <c r="B90" s="22" t="s">
        <v>317</v>
      </c>
      <c r="C90" s="17">
        <f t="shared" si="32"/>
        <v>11780</v>
      </c>
      <c r="D90" s="23">
        <v>11780</v>
      </c>
      <c r="E90" s="73">
        <v>0</v>
      </c>
      <c r="F90" s="20">
        <v>0</v>
      </c>
      <c r="G90" s="73">
        <v>0</v>
      </c>
      <c r="H90" s="20">
        <v>0</v>
      </c>
      <c r="I90" s="73">
        <v>0</v>
      </c>
      <c r="J90" s="20">
        <v>0</v>
      </c>
      <c r="K90" s="82">
        <v>0</v>
      </c>
      <c r="L90" s="20">
        <v>0</v>
      </c>
    </row>
    <row r="91" spans="1:12" ht="15">
      <c r="A91" s="21" t="s">
        <v>318</v>
      </c>
      <c r="B91" s="22" t="s">
        <v>319</v>
      </c>
      <c r="C91" s="17">
        <f t="shared" si="32"/>
        <v>30875</v>
      </c>
      <c r="D91" s="23">
        <v>30875</v>
      </c>
      <c r="E91" s="73">
        <v>0</v>
      </c>
      <c r="F91" s="20">
        <v>0</v>
      </c>
      <c r="G91" s="73">
        <v>0</v>
      </c>
      <c r="H91" s="20">
        <v>0</v>
      </c>
      <c r="I91" s="73">
        <v>0</v>
      </c>
      <c r="J91" s="20">
        <v>0</v>
      </c>
      <c r="K91" s="82">
        <v>0</v>
      </c>
      <c r="L91" s="20">
        <v>0</v>
      </c>
    </row>
    <row r="92" spans="1:12" ht="15">
      <c r="A92" s="21" t="s">
        <v>320</v>
      </c>
      <c r="B92" s="22" t="s">
        <v>321</v>
      </c>
      <c r="C92" s="17">
        <f t="shared" si="32"/>
        <v>4522</v>
      </c>
      <c r="D92" s="23">
        <v>4522</v>
      </c>
      <c r="E92" s="73">
        <v>0</v>
      </c>
      <c r="F92" s="20">
        <v>0</v>
      </c>
      <c r="G92" s="73">
        <v>0</v>
      </c>
      <c r="H92" s="20">
        <v>0</v>
      </c>
      <c r="I92" s="73">
        <v>0</v>
      </c>
      <c r="J92" s="20">
        <v>0</v>
      </c>
      <c r="K92" s="82">
        <v>0</v>
      </c>
      <c r="L92" s="20">
        <v>0</v>
      </c>
    </row>
    <row r="93" spans="1:12" ht="25.5">
      <c r="A93" s="21" t="s">
        <v>322</v>
      </c>
      <c r="B93" s="22" t="s">
        <v>910</v>
      </c>
      <c r="C93" s="17">
        <f t="shared" si="32"/>
        <v>137425</v>
      </c>
      <c r="D93" s="23">
        <f>20000-20000</f>
        <v>0</v>
      </c>
      <c r="E93" s="73">
        <v>9818</v>
      </c>
      <c r="F93" s="20">
        <v>0</v>
      </c>
      <c r="G93" s="73">
        <v>0</v>
      </c>
      <c r="H93" s="20">
        <v>108016</v>
      </c>
      <c r="I93" s="73">
        <v>0</v>
      </c>
      <c r="J93" s="20">
        <v>0</v>
      </c>
      <c r="K93" s="73">
        <v>0</v>
      </c>
      <c r="L93" s="23">
        <v>19591</v>
      </c>
    </row>
    <row r="94" spans="1:12" ht="25.5">
      <c r="A94" s="21" t="s">
        <v>323</v>
      </c>
      <c r="B94" s="22" t="s">
        <v>324</v>
      </c>
      <c r="C94" s="17">
        <f t="shared" si="32"/>
        <v>7000</v>
      </c>
      <c r="D94" s="23">
        <v>7000</v>
      </c>
      <c r="E94" s="73">
        <v>0</v>
      </c>
      <c r="F94" s="20">
        <v>0</v>
      </c>
      <c r="G94" s="73">
        <v>0</v>
      </c>
      <c r="H94" s="20">
        <v>0</v>
      </c>
      <c r="I94" s="73">
        <v>0</v>
      </c>
      <c r="J94" s="20">
        <v>0</v>
      </c>
      <c r="K94" s="82">
        <v>0</v>
      </c>
      <c r="L94" s="20">
        <v>0</v>
      </c>
    </row>
    <row r="95" spans="1:12" ht="15">
      <c r="A95" s="68" t="s">
        <v>174</v>
      </c>
      <c r="B95" s="69" t="s">
        <v>175</v>
      </c>
      <c r="C95" s="70">
        <f t="shared" si="32"/>
        <v>6265596</v>
      </c>
      <c r="D95" s="70">
        <f aca="true" t="shared" si="34" ref="D95:L95">D96+D101+D117</f>
        <v>5722751</v>
      </c>
      <c r="E95" s="71">
        <f t="shared" si="34"/>
        <v>8500</v>
      </c>
      <c r="F95" s="70">
        <f t="shared" si="34"/>
        <v>287009</v>
      </c>
      <c r="G95" s="71">
        <f t="shared" si="34"/>
        <v>0</v>
      </c>
      <c r="H95" s="70">
        <f t="shared" si="34"/>
        <v>217063</v>
      </c>
      <c r="I95" s="71">
        <f t="shared" si="34"/>
        <v>0</v>
      </c>
      <c r="J95" s="70">
        <f t="shared" si="34"/>
        <v>19764</v>
      </c>
      <c r="K95" s="71">
        <f t="shared" si="34"/>
        <v>0</v>
      </c>
      <c r="L95" s="70">
        <f t="shared" si="34"/>
        <v>10509</v>
      </c>
    </row>
    <row r="96" spans="1:12" ht="15">
      <c r="A96" s="15" t="s">
        <v>325</v>
      </c>
      <c r="B96" s="16" t="s">
        <v>326</v>
      </c>
      <c r="C96" s="17">
        <f aca="true" t="shared" si="35" ref="C96:C118">SUM(D96:L96)</f>
        <v>1420383</v>
      </c>
      <c r="D96" s="17">
        <f>SUM(D97:D100)</f>
        <v>1216855</v>
      </c>
      <c r="E96" s="72">
        <f aca="true" t="shared" si="36" ref="E96:L96">SUM(E97:E100)</f>
        <v>3500</v>
      </c>
      <c r="F96" s="17">
        <f t="shared" si="36"/>
        <v>23148</v>
      </c>
      <c r="G96" s="72">
        <f t="shared" si="36"/>
        <v>0</v>
      </c>
      <c r="H96" s="17">
        <f t="shared" si="36"/>
        <v>176880</v>
      </c>
      <c r="I96" s="72">
        <f t="shared" si="36"/>
        <v>0</v>
      </c>
      <c r="J96" s="17">
        <f t="shared" si="36"/>
        <v>0</v>
      </c>
      <c r="K96" s="72">
        <f t="shared" si="36"/>
        <v>0</v>
      </c>
      <c r="L96" s="17">
        <f t="shared" si="36"/>
        <v>0</v>
      </c>
    </row>
    <row r="97" spans="1:12" ht="25.5">
      <c r="A97" s="21" t="s">
        <v>327</v>
      </c>
      <c r="B97" s="22" t="s">
        <v>328</v>
      </c>
      <c r="C97" s="17">
        <f t="shared" si="35"/>
        <v>528703</v>
      </c>
      <c r="D97" s="20">
        <v>505555</v>
      </c>
      <c r="E97" s="73">
        <v>0</v>
      </c>
      <c r="F97" s="20">
        <v>23148</v>
      </c>
      <c r="G97" s="73">
        <v>0</v>
      </c>
      <c r="H97" s="20">
        <v>0</v>
      </c>
      <c r="I97" s="73">
        <v>0</v>
      </c>
      <c r="J97" s="20">
        <v>0</v>
      </c>
      <c r="K97" s="73">
        <v>0</v>
      </c>
      <c r="L97" s="20">
        <v>0</v>
      </c>
    </row>
    <row r="98" spans="1:12" ht="15">
      <c r="A98" s="21" t="s">
        <v>329</v>
      </c>
      <c r="B98" s="22" t="s">
        <v>330</v>
      </c>
      <c r="C98" s="17">
        <f t="shared" si="35"/>
        <v>609800</v>
      </c>
      <c r="D98" s="20">
        <f>580300+15000+11000</f>
        <v>606300</v>
      </c>
      <c r="E98" s="73">
        <v>3500</v>
      </c>
      <c r="F98" s="20">
        <v>0</v>
      </c>
      <c r="G98" s="73">
        <v>0</v>
      </c>
      <c r="H98" s="20">
        <v>0</v>
      </c>
      <c r="I98" s="73">
        <v>0</v>
      </c>
      <c r="J98" s="20">
        <v>0</v>
      </c>
      <c r="K98" s="73">
        <v>0</v>
      </c>
      <c r="L98" s="20">
        <v>0</v>
      </c>
    </row>
    <row r="99" spans="1:12" ht="25.5">
      <c r="A99" s="21" t="s">
        <v>331</v>
      </c>
      <c r="B99" s="22" t="s">
        <v>332</v>
      </c>
      <c r="C99" s="17">
        <f t="shared" si="35"/>
        <v>5000</v>
      </c>
      <c r="D99" s="20">
        <v>5000</v>
      </c>
      <c r="E99" s="73">
        <v>0</v>
      </c>
      <c r="F99" s="20">
        <v>0</v>
      </c>
      <c r="G99" s="73">
        <v>0</v>
      </c>
      <c r="H99" s="20">
        <v>0</v>
      </c>
      <c r="I99" s="73">
        <v>0</v>
      </c>
      <c r="J99" s="20">
        <v>0</v>
      </c>
      <c r="K99" s="73">
        <v>0</v>
      </c>
      <c r="L99" s="20">
        <v>0</v>
      </c>
    </row>
    <row r="100" spans="1:12" ht="38.25">
      <c r="A100" s="18" t="s">
        <v>821</v>
      </c>
      <c r="B100" s="19" t="s">
        <v>822</v>
      </c>
      <c r="C100" s="28">
        <f t="shared" si="35"/>
        <v>276880</v>
      </c>
      <c r="D100" s="20">
        <f>100000</f>
        <v>100000</v>
      </c>
      <c r="E100" s="73">
        <v>0</v>
      </c>
      <c r="F100" s="20">
        <v>0</v>
      </c>
      <c r="G100" s="73">
        <v>0</v>
      </c>
      <c r="H100" s="20">
        <f>176880</f>
        <v>176880</v>
      </c>
      <c r="I100" s="73">
        <v>0</v>
      </c>
      <c r="J100" s="20">
        <v>0</v>
      </c>
      <c r="K100" s="73">
        <v>0</v>
      </c>
      <c r="L100" s="20">
        <v>0</v>
      </c>
    </row>
    <row r="101" spans="1:12" ht="15">
      <c r="A101" s="15" t="s">
        <v>333</v>
      </c>
      <c r="B101" s="16" t="s">
        <v>334</v>
      </c>
      <c r="C101" s="17">
        <f t="shared" si="35"/>
        <v>4599157</v>
      </c>
      <c r="D101" s="17">
        <f aca="true" t="shared" si="37" ref="D101:L101">D102+D105+D107+D110+D114</f>
        <v>4264840</v>
      </c>
      <c r="E101" s="76">
        <f t="shared" si="37"/>
        <v>0</v>
      </c>
      <c r="F101" s="28">
        <f t="shared" si="37"/>
        <v>263861</v>
      </c>
      <c r="G101" s="76">
        <f t="shared" si="37"/>
        <v>0</v>
      </c>
      <c r="H101" s="28">
        <f t="shared" si="37"/>
        <v>40183</v>
      </c>
      <c r="I101" s="76">
        <f t="shared" si="37"/>
        <v>0</v>
      </c>
      <c r="J101" s="28">
        <f t="shared" si="37"/>
        <v>19764</v>
      </c>
      <c r="K101" s="76">
        <f t="shared" si="37"/>
        <v>0</v>
      </c>
      <c r="L101" s="28">
        <f t="shared" si="37"/>
        <v>10509</v>
      </c>
    </row>
    <row r="102" spans="1:12" ht="15">
      <c r="A102" s="15" t="s">
        <v>335</v>
      </c>
      <c r="B102" s="16" t="s">
        <v>336</v>
      </c>
      <c r="C102" s="17">
        <f t="shared" si="35"/>
        <v>750663</v>
      </c>
      <c r="D102" s="17">
        <f aca="true" t="shared" si="38" ref="D102:L102">SUM(D103:D104)</f>
        <v>719367</v>
      </c>
      <c r="E102" s="76">
        <f t="shared" si="38"/>
        <v>0</v>
      </c>
      <c r="F102" s="28">
        <f t="shared" si="38"/>
        <v>6021</v>
      </c>
      <c r="G102" s="76">
        <f t="shared" si="38"/>
        <v>0</v>
      </c>
      <c r="H102" s="28">
        <f t="shared" si="38"/>
        <v>720</v>
      </c>
      <c r="I102" s="76">
        <f t="shared" si="38"/>
        <v>0</v>
      </c>
      <c r="J102" s="28">
        <f t="shared" si="38"/>
        <v>19764</v>
      </c>
      <c r="K102" s="76">
        <f t="shared" si="38"/>
        <v>0</v>
      </c>
      <c r="L102" s="17">
        <f t="shared" si="38"/>
        <v>4791</v>
      </c>
    </row>
    <row r="103" spans="1:12" ht="25.5">
      <c r="A103" s="21" t="s">
        <v>337</v>
      </c>
      <c r="B103" s="19" t="s">
        <v>834</v>
      </c>
      <c r="C103" s="17">
        <f t="shared" si="35"/>
        <v>737610</v>
      </c>
      <c r="D103" s="20">
        <v>715016</v>
      </c>
      <c r="E103" s="73">
        <v>0</v>
      </c>
      <c r="F103" s="20">
        <v>1670</v>
      </c>
      <c r="G103" s="73">
        <v>0</v>
      </c>
      <c r="H103" s="20">
        <f>720</f>
        <v>720</v>
      </c>
      <c r="I103" s="73">
        <v>0</v>
      </c>
      <c r="J103" s="20">
        <v>19764</v>
      </c>
      <c r="K103" s="73">
        <v>0</v>
      </c>
      <c r="L103" s="20">
        <v>440</v>
      </c>
    </row>
    <row r="104" spans="1:12" ht="51">
      <c r="A104" s="21" t="s">
        <v>338</v>
      </c>
      <c r="B104" s="19" t="s">
        <v>339</v>
      </c>
      <c r="C104" s="17">
        <f>SUM(D104:L104)</f>
        <v>13053</v>
      </c>
      <c r="D104" s="20">
        <v>4351</v>
      </c>
      <c r="E104" s="73">
        <v>0</v>
      </c>
      <c r="F104" s="20">
        <v>4351</v>
      </c>
      <c r="G104" s="73">
        <v>0</v>
      </c>
      <c r="H104" s="20">
        <v>0</v>
      </c>
      <c r="I104" s="73">
        <v>0</v>
      </c>
      <c r="J104" s="20">
        <v>0</v>
      </c>
      <c r="K104" s="73">
        <v>0</v>
      </c>
      <c r="L104" s="20">
        <v>4351</v>
      </c>
    </row>
    <row r="105" spans="1:12" ht="15">
      <c r="A105" s="15" t="s">
        <v>340</v>
      </c>
      <c r="B105" s="16" t="s">
        <v>341</v>
      </c>
      <c r="C105" s="17">
        <f t="shared" si="35"/>
        <v>635055</v>
      </c>
      <c r="D105" s="28">
        <f>D106</f>
        <v>612838</v>
      </c>
      <c r="E105" s="76">
        <f aca="true" t="shared" si="39" ref="E105:L105">E106</f>
        <v>0</v>
      </c>
      <c r="F105" s="28">
        <f t="shared" si="39"/>
        <v>9500</v>
      </c>
      <c r="G105" s="76">
        <f t="shared" si="39"/>
        <v>0</v>
      </c>
      <c r="H105" s="28">
        <f t="shared" si="39"/>
        <v>7000</v>
      </c>
      <c r="I105" s="76">
        <f t="shared" si="39"/>
        <v>0</v>
      </c>
      <c r="J105" s="28">
        <f t="shared" si="39"/>
        <v>0</v>
      </c>
      <c r="K105" s="76">
        <f t="shared" si="39"/>
        <v>0</v>
      </c>
      <c r="L105" s="28">
        <f t="shared" si="39"/>
        <v>5717</v>
      </c>
    </row>
    <row r="106" spans="1:12" ht="38.25">
      <c r="A106" s="21" t="s">
        <v>342</v>
      </c>
      <c r="B106" s="22" t="s">
        <v>343</v>
      </c>
      <c r="C106" s="17">
        <f t="shared" si="35"/>
        <v>635055</v>
      </c>
      <c r="D106" s="20">
        <f>577780+18383+15000+1675</f>
        <v>612838</v>
      </c>
      <c r="E106" s="73">
        <v>0</v>
      </c>
      <c r="F106" s="20">
        <v>9500</v>
      </c>
      <c r="G106" s="73">
        <v>0</v>
      </c>
      <c r="H106" s="20">
        <v>7000</v>
      </c>
      <c r="I106" s="73">
        <v>0</v>
      </c>
      <c r="J106" s="20">
        <v>0</v>
      </c>
      <c r="K106" s="73">
        <v>0</v>
      </c>
      <c r="L106" s="20">
        <v>5717</v>
      </c>
    </row>
    <row r="107" spans="1:12" ht="15">
      <c r="A107" s="15" t="s">
        <v>344</v>
      </c>
      <c r="B107" s="16" t="s">
        <v>345</v>
      </c>
      <c r="C107" s="17">
        <f t="shared" si="35"/>
        <v>1957309</v>
      </c>
      <c r="D107" s="28">
        <f>D108+D109</f>
        <v>1691743</v>
      </c>
      <c r="E107" s="76">
        <f aca="true" t="shared" si="40" ref="E107:L107">E108+E109</f>
        <v>0</v>
      </c>
      <c r="F107" s="28">
        <f t="shared" si="40"/>
        <v>248340</v>
      </c>
      <c r="G107" s="76">
        <f t="shared" si="40"/>
        <v>0</v>
      </c>
      <c r="H107" s="28">
        <f t="shared" si="40"/>
        <v>17225</v>
      </c>
      <c r="I107" s="76">
        <f t="shared" si="40"/>
        <v>0</v>
      </c>
      <c r="J107" s="28">
        <f t="shared" si="40"/>
        <v>0</v>
      </c>
      <c r="K107" s="76">
        <f t="shared" si="40"/>
        <v>0</v>
      </c>
      <c r="L107" s="28">
        <f t="shared" si="40"/>
        <v>1</v>
      </c>
    </row>
    <row r="108" spans="1:12" ht="25.5">
      <c r="A108" s="21" t="s">
        <v>346</v>
      </c>
      <c r="B108" s="22" t="s">
        <v>347</v>
      </c>
      <c r="C108" s="17">
        <f t="shared" si="35"/>
        <v>1509808</v>
      </c>
      <c r="D108" s="20">
        <f>1321132+4635+67700</f>
        <v>1393467</v>
      </c>
      <c r="E108" s="73">
        <v>0</v>
      </c>
      <c r="F108" s="20">
        <v>116340</v>
      </c>
      <c r="G108" s="73">
        <v>0</v>
      </c>
      <c r="H108" s="20">
        <v>0</v>
      </c>
      <c r="I108" s="73">
        <v>0</v>
      </c>
      <c r="J108" s="20">
        <v>0</v>
      </c>
      <c r="K108" s="73">
        <v>0</v>
      </c>
      <c r="L108" s="20">
        <v>1</v>
      </c>
    </row>
    <row r="109" spans="1:12" ht="15">
      <c r="A109" s="21" t="s">
        <v>348</v>
      </c>
      <c r="B109" s="22" t="s">
        <v>349</v>
      </c>
      <c r="C109" s="17">
        <f t="shared" si="35"/>
        <v>447501</v>
      </c>
      <c r="D109" s="20">
        <f>389029-90753</f>
        <v>298276</v>
      </c>
      <c r="E109" s="73">
        <v>0</v>
      </c>
      <c r="F109" s="20">
        <v>132000</v>
      </c>
      <c r="G109" s="73">
        <v>0</v>
      </c>
      <c r="H109" s="20">
        <f>4800+12425</f>
        <v>17225</v>
      </c>
      <c r="I109" s="73">
        <v>0</v>
      </c>
      <c r="J109" s="20">
        <v>0</v>
      </c>
      <c r="K109" s="73">
        <v>0</v>
      </c>
      <c r="L109" s="20">
        <v>0</v>
      </c>
    </row>
    <row r="110" spans="1:12" ht="15">
      <c r="A110" s="15" t="s">
        <v>350</v>
      </c>
      <c r="B110" s="16" t="s">
        <v>351</v>
      </c>
      <c r="C110" s="17">
        <f t="shared" si="35"/>
        <v>190622</v>
      </c>
      <c r="D110" s="28">
        <f>SUM(D111:D113)</f>
        <v>190622</v>
      </c>
      <c r="E110" s="76">
        <f aca="true" t="shared" si="41" ref="E110:L110">SUM(E111:E113)</f>
        <v>0</v>
      </c>
      <c r="F110" s="28">
        <f t="shared" si="41"/>
        <v>0</v>
      </c>
      <c r="G110" s="76">
        <f t="shared" si="41"/>
        <v>0</v>
      </c>
      <c r="H110" s="28">
        <f t="shared" si="41"/>
        <v>0</v>
      </c>
      <c r="I110" s="76">
        <f t="shared" si="41"/>
        <v>0</v>
      </c>
      <c r="J110" s="28">
        <f t="shared" si="41"/>
        <v>0</v>
      </c>
      <c r="K110" s="76">
        <f t="shared" si="41"/>
        <v>0</v>
      </c>
      <c r="L110" s="28">
        <f t="shared" si="41"/>
        <v>0</v>
      </c>
    </row>
    <row r="111" spans="1:12" ht="25.5">
      <c r="A111" s="21" t="s">
        <v>352</v>
      </c>
      <c r="B111" s="22" t="s">
        <v>353</v>
      </c>
      <c r="C111" s="17">
        <f t="shared" si="35"/>
        <v>92715</v>
      </c>
      <c r="D111" s="20">
        <v>92715</v>
      </c>
      <c r="E111" s="73">
        <v>0</v>
      </c>
      <c r="F111" s="20">
        <v>0</v>
      </c>
      <c r="G111" s="73">
        <v>0</v>
      </c>
      <c r="H111" s="20">
        <v>0</v>
      </c>
      <c r="I111" s="73">
        <v>0</v>
      </c>
      <c r="J111" s="20">
        <v>0</v>
      </c>
      <c r="K111" s="73">
        <v>0</v>
      </c>
      <c r="L111" s="20">
        <v>0</v>
      </c>
    </row>
    <row r="112" spans="1:12" ht="25.5">
      <c r="A112" s="21" t="s">
        <v>354</v>
      </c>
      <c r="B112" s="22" t="s">
        <v>355</v>
      </c>
      <c r="C112" s="17">
        <f t="shared" si="35"/>
        <v>79974</v>
      </c>
      <c r="D112" s="23">
        <v>79974</v>
      </c>
      <c r="E112" s="73">
        <v>0</v>
      </c>
      <c r="F112" s="20">
        <v>0</v>
      </c>
      <c r="G112" s="73">
        <v>0</v>
      </c>
      <c r="H112" s="20">
        <v>0</v>
      </c>
      <c r="I112" s="73">
        <v>0</v>
      </c>
      <c r="J112" s="20">
        <v>0</v>
      </c>
      <c r="K112" s="73">
        <v>0</v>
      </c>
      <c r="L112" s="20">
        <v>0</v>
      </c>
    </row>
    <row r="113" spans="1:12" ht="25.5">
      <c r="A113" s="21" t="s">
        <v>356</v>
      </c>
      <c r="B113" s="22" t="s">
        <v>357</v>
      </c>
      <c r="C113" s="17">
        <f t="shared" si="35"/>
        <v>17933</v>
      </c>
      <c r="D113" s="23">
        <v>17933</v>
      </c>
      <c r="E113" s="73">
        <v>0</v>
      </c>
      <c r="F113" s="20">
        <v>0</v>
      </c>
      <c r="G113" s="73">
        <v>0</v>
      </c>
      <c r="H113" s="20">
        <v>0</v>
      </c>
      <c r="I113" s="73">
        <v>0</v>
      </c>
      <c r="J113" s="20">
        <v>0</v>
      </c>
      <c r="K113" s="73">
        <v>0</v>
      </c>
      <c r="L113" s="20">
        <v>0</v>
      </c>
    </row>
    <row r="114" spans="1:12" ht="15">
      <c r="A114" s="15" t="s">
        <v>358</v>
      </c>
      <c r="B114" s="16" t="s">
        <v>359</v>
      </c>
      <c r="C114" s="17">
        <f t="shared" si="35"/>
        <v>1065508</v>
      </c>
      <c r="D114" s="17">
        <f aca="true" t="shared" si="42" ref="D114:L114">SUM(D115:D116)</f>
        <v>1050270</v>
      </c>
      <c r="E114" s="76">
        <f t="shared" si="42"/>
        <v>0</v>
      </c>
      <c r="F114" s="28">
        <f t="shared" si="42"/>
        <v>0</v>
      </c>
      <c r="G114" s="76">
        <f t="shared" si="42"/>
        <v>0</v>
      </c>
      <c r="H114" s="28">
        <f t="shared" si="42"/>
        <v>15238</v>
      </c>
      <c r="I114" s="76">
        <f t="shared" si="42"/>
        <v>0</v>
      </c>
      <c r="J114" s="17">
        <f t="shared" si="42"/>
        <v>0</v>
      </c>
      <c r="K114" s="72">
        <f t="shared" si="42"/>
        <v>0</v>
      </c>
      <c r="L114" s="17">
        <f t="shared" si="42"/>
        <v>0</v>
      </c>
    </row>
    <row r="115" spans="1:12" ht="25.5">
      <c r="A115" s="21" t="s">
        <v>360</v>
      </c>
      <c r="B115" s="22" t="s">
        <v>361</v>
      </c>
      <c r="C115" s="17">
        <f t="shared" si="35"/>
        <v>560187</v>
      </c>
      <c r="D115" s="23">
        <v>544949</v>
      </c>
      <c r="E115" s="73">
        <v>0</v>
      </c>
      <c r="F115" s="20">
        <v>0</v>
      </c>
      <c r="G115" s="73">
        <v>0</v>
      </c>
      <c r="H115" s="20">
        <v>15238</v>
      </c>
      <c r="I115" s="73">
        <v>0</v>
      </c>
      <c r="J115" s="20">
        <v>0</v>
      </c>
      <c r="K115" s="73">
        <v>0</v>
      </c>
      <c r="L115" s="20">
        <v>0</v>
      </c>
    </row>
    <row r="116" spans="1:12" ht="15">
      <c r="A116" s="21" t="s">
        <v>362</v>
      </c>
      <c r="B116" s="22" t="s">
        <v>363</v>
      </c>
      <c r="C116" s="17">
        <f t="shared" si="35"/>
        <v>505321</v>
      </c>
      <c r="D116" s="23">
        <f>555321-50000</f>
        <v>505321</v>
      </c>
      <c r="E116" s="73">
        <v>0</v>
      </c>
      <c r="F116" s="20">
        <v>0</v>
      </c>
      <c r="G116" s="73">
        <v>0</v>
      </c>
      <c r="H116" s="20">
        <v>0</v>
      </c>
      <c r="I116" s="73">
        <v>0</v>
      </c>
      <c r="J116" s="20">
        <v>0</v>
      </c>
      <c r="K116" s="73">
        <v>0</v>
      </c>
      <c r="L116" s="20">
        <v>0</v>
      </c>
    </row>
    <row r="117" spans="1:12" ht="43.5" customHeight="1">
      <c r="A117" s="15" t="s">
        <v>364</v>
      </c>
      <c r="B117" s="16" t="s">
        <v>365</v>
      </c>
      <c r="C117" s="17">
        <f t="shared" si="35"/>
        <v>246056</v>
      </c>
      <c r="D117" s="17">
        <f>SUM(D118:D121)</f>
        <v>241056</v>
      </c>
      <c r="E117" s="76">
        <f aca="true" t="shared" si="43" ref="E117:L117">SUM(E118:E121)</f>
        <v>5000</v>
      </c>
      <c r="F117" s="28">
        <f t="shared" si="43"/>
        <v>0</v>
      </c>
      <c r="G117" s="76">
        <f t="shared" si="43"/>
        <v>0</v>
      </c>
      <c r="H117" s="28">
        <f t="shared" si="43"/>
        <v>0</v>
      </c>
      <c r="I117" s="76">
        <f t="shared" si="43"/>
        <v>0</v>
      </c>
      <c r="J117" s="28">
        <f t="shared" si="43"/>
        <v>0</v>
      </c>
      <c r="K117" s="72">
        <f t="shared" si="43"/>
        <v>0</v>
      </c>
      <c r="L117" s="17">
        <f t="shared" si="43"/>
        <v>0</v>
      </c>
    </row>
    <row r="118" spans="1:12" ht="25.5">
      <c r="A118" s="21" t="s">
        <v>366</v>
      </c>
      <c r="B118" s="22" t="s">
        <v>367</v>
      </c>
      <c r="C118" s="17">
        <f t="shared" si="35"/>
        <v>115000</v>
      </c>
      <c r="D118" s="23">
        <f>101000+8000+1000</f>
        <v>110000</v>
      </c>
      <c r="E118" s="73">
        <v>5000</v>
      </c>
      <c r="F118" s="20">
        <v>0</v>
      </c>
      <c r="G118" s="73">
        <v>0</v>
      </c>
      <c r="H118" s="20">
        <v>0</v>
      </c>
      <c r="I118" s="73">
        <v>0</v>
      </c>
      <c r="J118" s="20">
        <v>0</v>
      </c>
      <c r="K118" s="73">
        <v>0</v>
      </c>
      <c r="L118" s="20">
        <v>0</v>
      </c>
    </row>
    <row r="119" spans="1:12" ht="25.5">
      <c r="A119" s="21" t="s">
        <v>368</v>
      </c>
      <c r="B119" s="22" t="s">
        <v>369</v>
      </c>
      <c r="C119" s="17">
        <f>SUM(D119:L119)</f>
        <v>32044</v>
      </c>
      <c r="D119" s="23">
        <v>32044</v>
      </c>
      <c r="E119" s="73">
        <v>0</v>
      </c>
      <c r="F119" s="20">
        <v>0</v>
      </c>
      <c r="G119" s="73">
        <v>0</v>
      </c>
      <c r="H119" s="20">
        <v>0</v>
      </c>
      <c r="I119" s="73">
        <v>0</v>
      </c>
      <c r="J119" s="20">
        <v>0</v>
      </c>
      <c r="K119" s="73">
        <v>0</v>
      </c>
      <c r="L119" s="20">
        <v>0</v>
      </c>
    </row>
    <row r="120" spans="1:12" ht="25.5">
      <c r="A120" s="21" t="s">
        <v>370</v>
      </c>
      <c r="B120" s="22" t="s">
        <v>371</v>
      </c>
      <c r="C120" s="17">
        <f>SUM(D120:L120)</f>
        <v>4300</v>
      </c>
      <c r="D120" s="20">
        <v>4300</v>
      </c>
      <c r="E120" s="73">
        <v>0</v>
      </c>
      <c r="F120" s="20">
        <v>0</v>
      </c>
      <c r="G120" s="73">
        <v>0</v>
      </c>
      <c r="H120" s="20">
        <v>0</v>
      </c>
      <c r="I120" s="73">
        <v>0</v>
      </c>
      <c r="J120" s="20">
        <v>0</v>
      </c>
      <c r="K120" s="73">
        <v>0</v>
      </c>
      <c r="L120" s="20">
        <v>0</v>
      </c>
    </row>
    <row r="121" spans="1:12" ht="25.5">
      <c r="A121" s="21" t="s">
        <v>372</v>
      </c>
      <c r="B121" s="22" t="s">
        <v>373</v>
      </c>
      <c r="C121" s="17">
        <f>SUM(D121:L121)</f>
        <v>94712</v>
      </c>
      <c r="D121" s="20">
        <v>94712</v>
      </c>
      <c r="E121" s="73">
        <v>0</v>
      </c>
      <c r="F121" s="20">
        <v>0</v>
      </c>
      <c r="G121" s="73">
        <v>0</v>
      </c>
      <c r="H121" s="20">
        <v>0</v>
      </c>
      <c r="I121" s="73">
        <v>0</v>
      </c>
      <c r="J121" s="20">
        <v>0</v>
      </c>
      <c r="K121" s="73">
        <v>0</v>
      </c>
      <c r="L121" s="20">
        <v>0</v>
      </c>
    </row>
    <row r="122" spans="1:12" ht="15">
      <c r="A122" s="68" t="s">
        <v>26</v>
      </c>
      <c r="B122" s="69" t="s">
        <v>176</v>
      </c>
      <c r="C122" s="70">
        <f aca="true" t="shared" si="44" ref="C122:C128">SUM(D122:L122)</f>
        <v>41858518</v>
      </c>
      <c r="D122" s="70">
        <f aca="true" t="shared" si="45" ref="D122:L122">D123+D126+D137+D143+D146+D151+D155</f>
        <v>23545023</v>
      </c>
      <c r="E122" s="71">
        <f t="shared" si="45"/>
        <v>39736</v>
      </c>
      <c r="F122" s="70">
        <f t="shared" si="45"/>
        <v>678848</v>
      </c>
      <c r="G122" s="71">
        <f t="shared" si="45"/>
        <v>2040</v>
      </c>
      <c r="H122" s="70">
        <f t="shared" si="45"/>
        <v>16243518</v>
      </c>
      <c r="I122" s="71">
        <f t="shared" si="45"/>
        <v>74377</v>
      </c>
      <c r="J122" s="70">
        <f t="shared" si="45"/>
        <v>0</v>
      </c>
      <c r="K122" s="71">
        <f t="shared" si="45"/>
        <v>0</v>
      </c>
      <c r="L122" s="70">
        <f t="shared" si="45"/>
        <v>1274976</v>
      </c>
    </row>
    <row r="123" spans="1:12" ht="15">
      <c r="A123" s="15" t="s">
        <v>374</v>
      </c>
      <c r="B123" s="16" t="s">
        <v>375</v>
      </c>
      <c r="C123" s="17">
        <f>SUM(D123:L123)</f>
        <v>10827460</v>
      </c>
      <c r="D123" s="17">
        <f>SUM(D124:D125)</f>
        <v>9543393</v>
      </c>
      <c r="E123" s="72">
        <f aca="true" t="shared" si="46" ref="E123:L123">SUM(E124:E125)</f>
        <v>-80959</v>
      </c>
      <c r="F123" s="17">
        <f t="shared" si="46"/>
        <v>86248</v>
      </c>
      <c r="G123" s="72">
        <f t="shared" si="46"/>
        <v>0</v>
      </c>
      <c r="H123" s="17">
        <f t="shared" si="46"/>
        <v>1248325</v>
      </c>
      <c r="I123" s="72">
        <f t="shared" si="46"/>
        <v>0</v>
      </c>
      <c r="J123" s="17">
        <f t="shared" si="46"/>
        <v>0</v>
      </c>
      <c r="K123" s="72">
        <f t="shared" si="46"/>
        <v>0</v>
      </c>
      <c r="L123" s="17">
        <f t="shared" si="46"/>
        <v>30453</v>
      </c>
    </row>
    <row r="124" spans="1:12" ht="25.5">
      <c r="A124" s="21" t="s">
        <v>376</v>
      </c>
      <c r="B124" s="22" t="s">
        <v>377</v>
      </c>
      <c r="C124" s="17">
        <f t="shared" si="44"/>
        <v>9560812</v>
      </c>
      <c r="D124" s="20">
        <f>8113046+133788+44704-14793</f>
        <v>8276745</v>
      </c>
      <c r="E124" s="73">
        <v>-80959</v>
      </c>
      <c r="F124" s="20">
        <f>83444+2804</f>
        <v>86248</v>
      </c>
      <c r="G124" s="73">
        <v>0</v>
      </c>
      <c r="H124" s="20">
        <f>754760+103318+390247</f>
        <v>1248325</v>
      </c>
      <c r="I124" s="73">
        <v>0</v>
      </c>
      <c r="J124" s="20">
        <v>0</v>
      </c>
      <c r="K124" s="73">
        <v>0</v>
      </c>
      <c r="L124" s="20">
        <v>30453</v>
      </c>
    </row>
    <row r="125" spans="1:12" ht="38.25">
      <c r="A125" s="41" t="s">
        <v>378</v>
      </c>
      <c r="B125" s="19" t="s">
        <v>379</v>
      </c>
      <c r="C125" s="17">
        <f t="shared" si="44"/>
        <v>1266648</v>
      </c>
      <c r="D125" s="20">
        <v>1266648</v>
      </c>
      <c r="E125" s="73">
        <v>0</v>
      </c>
      <c r="F125" s="20">
        <v>0</v>
      </c>
      <c r="G125" s="73">
        <v>0</v>
      </c>
      <c r="H125" s="20">
        <v>0</v>
      </c>
      <c r="I125" s="73">
        <v>0</v>
      </c>
      <c r="J125" s="20">
        <v>0</v>
      </c>
      <c r="K125" s="73">
        <v>0</v>
      </c>
      <c r="L125" s="20">
        <v>0</v>
      </c>
    </row>
    <row r="126" spans="1:12" ht="25.5">
      <c r="A126" s="26" t="s">
        <v>380</v>
      </c>
      <c r="B126" s="27" t="s">
        <v>381</v>
      </c>
      <c r="C126" s="28">
        <f t="shared" si="44"/>
        <v>23833920</v>
      </c>
      <c r="D126" s="28">
        <f aca="true" t="shared" si="47" ref="D126:L126">D127+D134</f>
        <v>9440615</v>
      </c>
      <c r="E126" s="76">
        <f t="shared" si="47"/>
        <v>107844</v>
      </c>
      <c r="F126" s="28">
        <f t="shared" si="47"/>
        <v>194366</v>
      </c>
      <c r="G126" s="76">
        <f t="shared" si="47"/>
        <v>2040</v>
      </c>
      <c r="H126" s="28">
        <f t="shared" si="47"/>
        <v>13217410</v>
      </c>
      <c r="I126" s="76">
        <f t="shared" si="47"/>
        <v>66105</v>
      </c>
      <c r="J126" s="28">
        <f t="shared" si="47"/>
        <v>0</v>
      </c>
      <c r="K126" s="76">
        <f t="shared" si="47"/>
        <v>0</v>
      </c>
      <c r="L126" s="28">
        <f t="shared" si="47"/>
        <v>805540</v>
      </c>
    </row>
    <row r="127" spans="1:12" ht="15">
      <c r="A127" s="24" t="s">
        <v>382</v>
      </c>
      <c r="B127" s="16" t="s">
        <v>383</v>
      </c>
      <c r="C127" s="17">
        <f t="shared" si="44"/>
        <v>22075320</v>
      </c>
      <c r="D127" s="17">
        <f aca="true" t="shared" si="48" ref="D127:L127">SUM(D128:D133)</f>
        <v>8962920</v>
      </c>
      <c r="E127" s="76">
        <f t="shared" si="48"/>
        <v>99744</v>
      </c>
      <c r="F127" s="28">
        <f t="shared" si="48"/>
        <v>151422</v>
      </c>
      <c r="G127" s="76">
        <f t="shared" si="48"/>
        <v>2040</v>
      </c>
      <c r="H127" s="28">
        <f t="shared" si="48"/>
        <v>12356483</v>
      </c>
      <c r="I127" s="76">
        <f t="shared" si="48"/>
        <v>-5104</v>
      </c>
      <c r="J127" s="28">
        <f t="shared" si="48"/>
        <v>0</v>
      </c>
      <c r="K127" s="72">
        <f t="shared" si="48"/>
        <v>0</v>
      </c>
      <c r="L127" s="17">
        <f t="shared" si="48"/>
        <v>507815</v>
      </c>
    </row>
    <row r="128" spans="1:12" ht="25.5">
      <c r="A128" s="21" t="s">
        <v>384</v>
      </c>
      <c r="B128" s="22" t="s">
        <v>385</v>
      </c>
      <c r="C128" s="28">
        <f t="shared" si="44"/>
        <v>15007621</v>
      </c>
      <c r="D128" s="20">
        <f>4955014+32253-20490+25740</f>
        <v>4992517</v>
      </c>
      <c r="E128" s="73">
        <v>95376</v>
      </c>
      <c r="F128" s="20">
        <f>95904+2200+2596</f>
        <v>100700</v>
      </c>
      <c r="G128" s="73">
        <v>0</v>
      </c>
      <c r="H128" s="20">
        <f>6285021+344252+2692+3108126</f>
        <v>9740091</v>
      </c>
      <c r="I128" s="73">
        <f>-18411</f>
        <v>-18411</v>
      </c>
      <c r="J128" s="20">
        <v>0</v>
      </c>
      <c r="K128" s="73">
        <v>0</v>
      </c>
      <c r="L128" s="20">
        <v>97348</v>
      </c>
    </row>
    <row r="129" spans="1:12" ht="38.25">
      <c r="A129" s="21" t="s">
        <v>386</v>
      </c>
      <c r="B129" s="22" t="s">
        <v>387</v>
      </c>
      <c r="C129" s="28">
        <f aca="true" t="shared" si="49" ref="C129:C156">SUM(D129:L129)</f>
        <v>2333748</v>
      </c>
      <c r="D129" s="20">
        <f>396409+12864-433+30826</f>
        <v>439666</v>
      </c>
      <c r="E129" s="73">
        <v>14168</v>
      </c>
      <c r="F129" s="20">
        <v>41642</v>
      </c>
      <c r="G129" s="73">
        <v>0</v>
      </c>
      <c r="H129" s="20">
        <f>1137581+29626+866+590212</f>
        <v>1758285</v>
      </c>
      <c r="I129" s="73">
        <f>13307</f>
        <v>13307</v>
      </c>
      <c r="J129" s="20">
        <v>0</v>
      </c>
      <c r="K129" s="73">
        <v>0</v>
      </c>
      <c r="L129" s="20">
        <v>66680</v>
      </c>
    </row>
    <row r="130" spans="1:12" ht="25.5">
      <c r="A130" s="21" t="s">
        <v>388</v>
      </c>
      <c r="B130" s="22" t="s">
        <v>389</v>
      </c>
      <c r="C130" s="17">
        <f t="shared" si="49"/>
        <v>488459</v>
      </c>
      <c r="D130" s="23">
        <v>11886</v>
      </c>
      <c r="E130" s="73">
        <v>-9800</v>
      </c>
      <c r="F130" s="20">
        <f>9080</f>
        <v>9080</v>
      </c>
      <c r="G130" s="73">
        <v>2040</v>
      </c>
      <c r="H130" s="20">
        <f>73433+72390</f>
        <v>145823</v>
      </c>
      <c r="I130" s="73">
        <v>0</v>
      </c>
      <c r="J130" s="20">
        <v>0</v>
      </c>
      <c r="K130" s="73">
        <v>0</v>
      </c>
      <c r="L130" s="20">
        <v>329430</v>
      </c>
    </row>
    <row r="131" spans="1:12" ht="51">
      <c r="A131" s="21" t="s">
        <v>390</v>
      </c>
      <c r="B131" s="22" t="s">
        <v>391</v>
      </c>
      <c r="C131" s="17">
        <f t="shared" si="49"/>
        <v>1882755</v>
      </c>
      <c r="D131" s="23">
        <f>2226744-81316-273730</f>
        <v>1871698</v>
      </c>
      <c r="E131" s="73">
        <v>0</v>
      </c>
      <c r="F131" s="20">
        <v>0</v>
      </c>
      <c r="G131" s="73">
        <v>0</v>
      </c>
      <c r="H131" s="20">
        <v>0</v>
      </c>
      <c r="I131" s="73">
        <v>0</v>
      </c>
      <c r="J131" s="20">
        <v>0</v>
      </c>
      <c r="K131" s="73">
        <v>0</v>
      </c>
      <c r="L131" s="20">
        <v>11057</v>
      </c>
    </row>
    <row r="132" spans="1:12" ht="89.25">
      <c r="A132" s="18" t="s">
        <v>392</v>
      </c>
      <c r="B132" s="19" t="s">
        <v>763</v>
      </c>
      <c r="C132" s="28">
        <f t="shared" si="49"/>
        <v>220534</v>
      </c>
      <c r="D132" s="20">
        <v>0</v>
      </c>
      <c r="E132" s="73">
        <v>0</v>
      </c>
      <c r="F132" s="20">
        <v>0</v>
      </c>
      <c r="G132" s="73">
        <v>0</v>
      </c>
      <c r="H132" s="20">
        <v>217234</v>
      </c>
      <c r="I132" s="73">
        <v>0</v>
      </c>
      <c r="J132" s="20">
        <v>0</v>
      </c>
      <c r="K132" s="73">
        <v>0</v>
      </c>
      <c r="L132" s="20">
        <v>3300</v>
      </c>
    </row>
    <row r="133" spans="1:12" ht="63.75">
      <c r="A133" s="18" t="s">
        <v>393</v>
      </c>
      <c r="B133" s="19" t="s">
        <v>394</v>
      </c>
      <c r="C133" s="28">
        <f t="shared" si="49"/>
        <v>2142203</v>
      </c>
      <c r="D133" s="20">
        <f>1562656+84497</f>
        <v>1647153</v>
      </c>
      <c r="E133" s="73">
        <v>0</v>
      </c>
      <c r="F133" s="20">
        <v>0</v>
      </c>
      <c r="G133" s="73">
        <v>0</v>
      </c>
      <c r="H133" s="20">
        <v>495050</v>
      </c>
      <c r="I133" s="73">
        <v>0</v>
      </c>
      <c r="J133" s="20">
        <v>0</v>
      </c>
      <c r="K133" s="73">
        <v>0</v>
      </c>
      <c r="L133" s="20">
        <v>0</v>
      </c>
    </row>
    <row r="134" spans="1:12" ht="15">
      <c r="A134" s="24" t="s">
        <v>395</v>
      </c>
      <c r="B134" s="16" t="s">
        <v>396</v>
      </c>
      <c r="C134" s="17">
        <f>SUM(D134:L134)</f>
        <v>1758600</v>
      </c>
      <c r="D134" s="17">
        <f aca="true" t="shared" si="50" ref="D134:L134">SUM(D135:D136)</f>
        <v>477695</v>
      </c>
      <c r="E134" s="76">
        <f t="shared" si="50"/>
        <v>8100</v>
      </c>
      <c r="F134" s="28">
        <f t="shared" si="50"/>
        <v>42944</v>
      </c>
      <c r="G134" s="76">
        <f t="shared" si="50"/>
        <v>0</v>
      </c>
      <c r="H134" s="28">
        <f t="shared" si="50"/>
        <v>860927</v>
      </c>
      <c r="I134" s="76">
        <f t="shared" si="50"/>
        <v>71209</v>
      </c>
      <c r="J134" s="28">
        <f t="shared" si="50"/>
        <v>0</v>
      </c>
      <c r="K134" s="76">
        <f t="shared" si="50"/>
        <v>0</v>
      </c>
      <c r="L134" s="17">
        <f t="shared" si="50"/>
        <v>297725</v>
      </c>
    </row>
    <row r="135" spans="1:12" ht="25.5">
      <c r="A135" s="21" t="s">
        <v>397</v>
      </c>
      <c r="B135" s="22" t="s">
        <v>398</v>
      </c>
      <c r="C135" s="17">
        <f t="shared" si="49"/>
        <v>1259798</v>
      </c>
      <c r="D135" s="23">
        <f>447472-968+4900</f>
        <v>451404</v>
      </c>
      <c r="E135" s="73">
        <v>12000</v>
      </c>
      <c r="F135" s="20">
        <v>24906</v>
      </c>
      <c r="G135" s="73">
        <v>0</v>
      </c>
      <c r="H135" s="20">
        <f>476836+19345+968+266912</f>
        <v>764061</v>
      </c>
      <c r="I135" s="73">
        <v>5104</v>
      </c>
      <c r="J135" s="20">
        <v>0</v>
      </c>
      <c r="K135" s="73">
        <v>0</v>
      </c>
      <c r="L135" s="23">
        <v>2323</v>
      </c>
    </row>
    <row r="136" spans="1:12" ht="25.5">
      <c r="A136" s="21" t="s">
        <v>399</v>
      </c>
      <c r="B136" s="22" t="s">
        <v>400</v>
      </c>
      <c r="C136" s="17">
        <f t="shared" si="49"/>
        <v>498802</v>
      </c>
      <c r="D136" s="23">
        <v>26291</v>
      </c>
      <c r="E136" s="73">
        <v>-3900</v>
      </c>
      <c r="F136" s="20">
        <v>18038</v>
      </c>
      <c r="G136" s="73">
        <v>0</v>
      </c>
      <c r="H136" s="20">
        <v>96866</v>
      </c>
      <c r="I136" s="73">
        <v>66105</v>
      </c>
      <c r="J136" s="20">
        <v>0</v>
      </c>
      <c r="K136" s="73">
        <v>0</v>
      </c>
      <c r="L136" s="23">
        <v>295402</v>
      </c>
    </row>
    <row r="137" spans="1:12" ht="25.5">
      <c r="A137" s="15" t="s">
        <v>402</v>
      </c>
      <c r="B137" s="16" t="s">
        <v>403</v>
      </c>
      <c r="C137" s="17">
        <f>SUM(D137:L137)</f>
        <v>4269263</v>
      </c>
      <c r="D137" s="17">
        <f aca="true" t="shared" si="51" ref="D137:L137">SUM(D138:D142)</f>
        <v>2748709</v>
      </c>
      <c r="E137" s="76">
        <f t="shared" si="51"/>
        <v>12851</v>
      </c>
      <c r="F137" s="28">
        <f t="shared" si="51"/>
        <v>166632</v>
      </c>
      <c r="G137" s="76">
        <f t="shared" si="51"/>
        <v>0</v>
      </c>
      <c r="H137" s="28">
        <f t="shared" si="51"/>
        <v>1299584</v>
      </c>
      <c r="I137" s="76">
        <f t="shared" si="51"/>
        <v>0</v>
      </c>
      <c r="J137" s="28">
        <f t="shared" si="51"/>
        <v>0</v>
      </c>
      <c r="K137" s="76">
        <f t="shared" si="51"/>
        <v>0</v>
      </c>
      <c r="L137" s="17">
        <f t="shared" si="51"/>
        <v>41487</v>
      </c>
    </row>
    <row r="138" spans="1:12" ht="25.5">
      <c r="A138" s="21" t="s">
        <v>38</v>
      </c>
      <c r="B138" s="22" t="s">
        <v>404</v>
      </c>
      <c r="C138" s="17">
        <f t="shared" si="49"/>
        <v>1637348</v>
      </c>
      <c r="D138" s="23">
        <f>494607+460687-20009</f>
        <v>935285</v>
      </c>
      <c r="E138" s="73">
        <v>12851</v>
      </c>
      <c r="F138" s="20">
        <v>44069</v>
      </c>
      <c r="G138" s="73">
        <v>0</v>
      </c>
      <c r="H138" s="20">
        <f>416446+219988</f>
        <v>636434</v>
      </c>
      <c r="I138" s="73">
        <v>0</v>
      </c>
      <c r="J138" s="20">
        <v>0</v>
      </c>
      <c r="K138" s="73">
        <v>0</v>
      </c>
      <c r="L138" s="23">
        <v>8709</v>
      </c>
    </row>
    <row r="139" spans="1:12" ht="25.5">
      <c r="A139" s="21" t="s">
        <v>40</v>
      </c>
      <c r="B139" s="22" t="s">
        <v>405</v>
      </c>
      <c r="C139" s="17">
        <f t="shared" si="49"/>
        <v>258347</v>
      </c>
      <c r="D139" s="23">
        <f>120259+3000+2009</f>
        <v>125268</v>
      </c>
      <c r="E139" s="73">
        <v>0</v>
      </c>
      <c r="F139" s="20">
        <v>12395</v>
      </c>
      <c r="G139" s="73">
        <v>0</v>
      </c>
      <c r="H139" s="20">
        <f>112730+3493+1904</f>
        <v>118127</v>
      </c>
      <c r="I139" s="73">
        <v>0</v>
      </c>
      <c r="J139" s="20">
        <v>0</v>
      </c>
      <c r="K139" s="73">
        <v>0</v>
      </c>
      <c r="L139" s="23">
        <v>2557</v>
      </c>
    </row>
    <row r="140" spans="1:12" ht="25.5">
      <c r="A140" s="21" t="s">
        <v>406</v>
      </c>
      <c r="B140" s="22" t="s">
        <v>407</v>
      </c>
      <c r="C140" s="17">
        <f t="shared" si="49"/>
        <v>2356653</v>
      </c>
      <c r="D140" s="23">
        <v>1688156</v>
      </c>
      <c r="E140" s="73">
        <v>0</v>
      </c>
      <c r="F140" s="20">
        <f>106906+3262</f>
        <v>110168</v>
      </c>
      <c r="G140" s="73">
        <v>0</v>
      </c>
      <c r="H140" s="20">
        <f>516229+17364+10371</f>
        <v>543964</v>
      </c>
      <c r="I140" s="73">
        <v>0</v>
      </c>
      <c r="J140" s="20">
        <v>0</v>
      </c>
      <c r="K140" s="73">
        <v>0</v>
      </c>
      <c r="L140" s="23">
        <v>14365</v>
      </c>
    </row>
    <row r="141" spans="1:12" ht="25.5">
      <c r="A141" s="18" t="s">
        <v>408</v>
      </c>
      <c r="B141" s="19" t="s">
        <v>804</v>
      </c>
      <c r="C141" s="28">
        <f t="shared" si="49"/>
        <v>1059</v>
      </c>
      <c r="D141" s="20">
        <v>0</v>
      </c>
      <c r="E141" s="73">
        <v>0</v>
      </c>
      <c r="F141" s="20">
        <v>0</v>
      </c>
      <c r="G141" s="73">
        <v>0</v>
      </c>
      <c r="H141" s="20">
        <f>1059</f>
        <v>1059</v>
      </c>
      <c r="I141" s="73">
        <v>0</v>
      </c>
      <c r="J141" s="20">
        <v>0</v>
      </c>
      <c r="K141" s="73">
        <v>0</v>
      </c>
      <c r="L141" s="20">
        <v>0</v>
      </c>
    </row>
    <row r="142" spans="1:12" ht="76.5">
      <c r="A142" s="18" t="s">
        <v>764</v>
      </c>
      <c r="B142" s="19" t="s">
        <v>765</v>
      </c>
      <c r="C142" s="28">
        <f>SUM(D142:L142)</f>
        <v>15856</v>
      </c>
      <c r="D142" s="20">
        <f>447000-447000</f>
        <v>0</v>
      </c>
      <c r="E142" s="73">
        <v>0</v>
      </c>
      <c r="F142" s="20">
        <v>0</v>
      </c>
      <c r="G142" s="73">
        <v>0</v>
      </c>
      <c r="H142" s="20">
        <v>0</v>
      </c>
      <c r="I142" s="73">
        <v>0</v>
      </c>
      <c r="J142" s="20">
        <v>0</v>
      </c>
      <c r="K142" s="73">
        <v>0</v>
      </c>
      <c r="L142" s="20">
        <v>15856</v>
      </c>
    </row>
    <row r="143" spans="1:12" ht="59.25" customHeight="1">
      <c r="A143" s="15" t="s">
        <v>409</v>
      </c>
      <c r="B143" s="16" t="s">
        <v>410</v>
      </c>
      <c r="C143" s="17">
        <f>SUM(D143:L143)</f>
        <v>8600</v>
      </c>
      <c r="D143" s="17">
        <f>SUM(D144:D145)</f>
        <v>8600</v>
      </c>
      <c r="E143" s="76">
        <f aca="true" t="shared" si="52" ref="E143:L143">SUM(E144:E145)</f>
        <v>0</v>
      </c>
      <c r="F143" s="28">
        <f t="shared" si="52"/>
        <v>0</v>
      </c>
      <c r="G143" s="76">
        <f t="shared" si="52"/>
        <v>0</v>
      </c>
      <c r="H143" s="28">
        <f t="shared" si="52"/>
        <v>0</v>
      </c>
      <c r="I143" s="76">
        <f t="shared" si="52"/>
        <v>0</v>
      </c>
      <c r="J143" s="28">
        <f t="shared" si="52"/>
        <v>0</v>
      </c>
      <c r="K143" s="76">
        <f t="shared" si="52"/>
        <v>0</v>
      </c>
      <c r="L143" s="17">
        <f t="shared" si="52"/>
        <v>0</v>
      </c>
    </row>
    <row r="144" spans="1:12" ht="25.5">
      <c r="A144" s="21" t="s">
        <v>48</v>
      </c>
      <c r="B144" s="22" t="s">
        <v>411</v>
      </c>
      <c r="C144" s="17">
        <f t="shared" si="49"/>
        <v>6000</v>
      </c>
      <c r="D144" s="23">
        <v>6000</v>
      </c>
      <c r="E144" s="73">
        <v>0</v>
      </c>
      <c r="F144" s="20">
        <v>0</v>
      </c>
      <c r="G144" s="73">
        <v>0</v>
      </c>
      <c r="H144" s="20">
        <v>0</v>
      </c>
      <c r="I144" s="73">
        <v>0</v>
      </c>
      <c r="J144" s="20">
        <v>0</v>
      </c>
      <c r="K144" s="73">
        <v>0</v>
      </c>
      <c r="L144" s="23">
        <v>0</v>
      </c>
    </row>
    <row r="145" spans="1:12" ht="25.5">
      <c r="A145" s="21" t="s">
        <v>412</v>
      </c>
      <c r="B145" s="22" t="s">
        <v>820</v>
      </c>
      <c r="C145" s="17">
        <f t="shared" si="49"/>
        <v>2600</v>
      </c>
      <c r="D145" s="23">
        <v>2600</v>
      </c>
      <c r="E145" s="73">
        <v>0</v>
      </c>
      <c r="F145" s="20">
        <v>0</v>
      </c>
      <c r="G145" s="73">
        <v>0</v>
      </c>
      <c r="H145" s="20">
        <v>0</v>
      </c>
      <c r="I145" s="73">
        <v>0</v>
      </c>
      <c r="J145" s="20">
        <v>0</v>
      </c>
      <c r="K145" s="73">
        <v>0</v>
      </c>
      <c r="L145" s="23">
        <v>0</v>
      </c>
    </row>
    <row r="146" spans="1:12" ht="25.5">
      <c r="A146" s="15" t="s">
        <v>413</v>
      </c>
      <c r="B146" s="16" t="s">
        <v>414</v>
      </c>
      <c r="C146" s="17">
        <f>SUM(D146:L146)</f>
        <v>1386631</v>
      </c>
      <c r="D146" s="17">
        <f aca="true" t="shared" si="53" ref="D146:L146">SUM(D147:D150)</f>
        <v>876001</v>
      </c>
      <c r="E146" s="76">
        <f t="shared" si="53"/>
        <v>0</v>
      </c>
      <c r="F146" s="28">
        <f t="shared" si="53"/>
        <v>231139</v>
      </c>
      <c r="G146" s="76">
        <f t="shared" si="53"/>
        <v>0</v>
      </c>
      <c r="H146" s="28">
        <f t="shared" si="53"/>
        <v>107236</v>
      </c>
      <c r="I146" s="76">
        <f t="shared" si="53"/>
        <v>0</v>
      </c>
      <c r="J146" s="28">
        <f t="shared" si="53"/>
        <v>0</v>
      </c>
      <c r="K146" s="76">
        <f t="shared" si="53"/>
        <v>0</v>
      </c>
      <c r="L146" s="17">
        <f t="shared" si="53"/>
        <v>172255</v>
      </c>
    </row>
    <row r="147" spans="1:12" ht="38.25">
      <c r="A147" s="21" t="s">
        <v>415</v>
      </c>
      <c r="B147" s="22" t="s">
        <v>416</v>
      </c>
      <c r="C147" s="17">
        <f t="shared" si="49"/>
        <v>1136312</v>
      </c>
      <c r="D147" s="23">
        <f>932458-57117-7340</f>
        <v>868001</v>
      </c>
      <c r="E147" s="73">
        <v>0</v>
      </c>
      <c r="F147" s="20">
        <f>159681+40383+4095</f>
        <v>204159</v>
      </c>
      <c r="G147" s="73">
        <v>0</v>
      </c>
      <c r="H147" s="20">
        <v>0</v>
      </c>
      <c r="I147" s="73">
        <v>0</v>
      </c>
      <c r="J147" s="20">
        <v>0</v>
      </c>
      <c r="K147" s="73">
        <v>0</v>
      </c>
      <c r="L147" s="23">
        <v>64152</v>
      </c>
    </row>
    <row r="148" spans="1:12" ht="38.25">
      <c r="A148" s="21" t="s">
        <v>417</v>
      </c>
      <c r="B148" s="22" t="s">
        <v>418</v>
      </c>
      <c r="C148" s="17">
        <f t="shared" si="49"/>
        <v>185449</v>
      </c>
      <c r="D148" s="23">
        <v>0</v>
      </c>
      <c r="E148" s="73">
        <v>0</v>
      </c>
      <c r="F148" s="20">
        <f>400+26580</f>
        <v>26980</v>
      </c>
      <c r="G148" s="73">
        <v>0</v>
      </c>
      <c r="H148" s="20">
        <f>59565+2160</f>
        <v>61725</v>
      </c>
      <c r="I148" s="73">
        <v>0</v>
      </c>
      <c r="J148" s="20">
        <v>0</v>
      </c>
      <c r="K148" s="73">
        <v>0</v>
      </c>
      <c r="L148" s="23">
        <v>96744</v>
      </c>
    </row>
    <row r="149" spans="1:12" ht="15">
      <c r="A149" s="21" t="s">
        <v>419</v>
      </c>
      <c r="B149" s="22" t="s">
        <v>420</v>
      </c>
      <c r="C149" s="17">
        <f>SUM(D149:L149)</f>
        <v>64370</v>
      </c>
      <c r="D149" s="23">
        <v>8000</v>
      </c>
      <c r="E149" s="73">
        <v>0</v>
      </c>
      <c r="F149" s="20">
        <v>0</v>
      </c>
      <c r="G149" s="73">
        <v>0</v>
      </c>
      <c r="H149" s="20">
        <v>45011</v>
      </c>
      <c r="I149" s="73">
        <v>0</v>
      </c>
      <c r="J149" s="20">
        <v>0</v>
      </c>
      <c r="K149" s="73">
        <v>0</v>
      </c>
      <c r="L149" s="23">
        <v>11359</v>
      </c>
    </row>
    <row r="150" spans="1:12" ht="38.25">
      <c r="A150" s="18" t="s">
        <v>421</v>
      </c>
      <c r="B150" s="19" t="s">
        <v>422</v>
      </c>
      <c r="C150" s="28">
        <f>SUM(D150:L150)</f>
        <v>500</v>
      </c>
      <c r="D150" s="20">
        <v>0</v>
      </c>
      <c r="E150" s="73">
        <v>0</v>
      </c>
      <c r="F150" s="20">
        <v>0</v>
      </c>
      <c r="G150" s="73">
        <v>0</v>
      </c>
      <c r="H150" s="20">
        <v>500</v>
      </c>
      <c r="I150" s="73">
        <v>0</v>
      </c>
      <c r="J150" s="20">
        <v>0</v>
      </c>
      <c r="K150" s="73">
        <v>0</v>
      </c>
      <c r="L150" s="20">
        <v>0</v>
      </c>
    </row>
    <row r="151" spans="1:12" ht="15">
      <c r="A151" s="15" t="s">
        <v>423</v>
      </c>
      <c r="B151" s="16" t="s">
        <v>424</v>
      </c>
      <c r="C151" s="17">
        <f>SUM(D151:L151)</f>
        <v>1528344</v>
      </c>
      <c r="D151" s="17">
        <f>SUM(D152:D154)</f>
        <v>927275</v>
      </c>
      <c r="E151" s="76">
        <f aca="true" t="shared" si="54" ref="E151:L151">SUM(E152:E154)</f>
        <v>0</v>
      </c>
      <c r="F151" s="28">
        <f t="shared" si="54"/>
        <v>463</v>
      </c>
      <c r="G151" s="76">
        <f t="shared" si="54"/>
        <v>0</v>
      </c>
      <c r="H151" s="28">
        <f t="shared" si="54"/>
        <v>370963</v>
      </c>
      <c r="I151" s="76">
        <f t="shared" si="54"/>
        <v>8272</v>
      </c>
      <c r="J151" s="28">
        <f t="shared" si="54"/>
        <v>0</v>
      </c>
      <c r="K151" s="76">
        <f t="shared" si="54"/>
        <v>0</v>
      </c>
      <c r="L151" s="17">
        <f t="shared" si="54"/>
        <v>221371</v>
      </c>
    </row>
    <row r="152" spans="1:12" ht="25.5">
      <c r="A152" s="21" t="s">
        <v>425</v>
      </c>
      <c r="B152" s="22" t="s">
        <v>426</v>
      </c>
      <c r="C152" s="17">
        <f t="shared" si="49"/>
        <v>852564</v>
      </c>
      <c r="D152" s="23">
        <f>819669+118000-3606-94000</f>
        <v>840063</v>
      </c>
      <c r="E152" s="73">
        <v>0</v>
      </c>
      <c r="F152" s="20">
        <v>0</v>
      </c>
      <c r="G152" s="73">
        <v>0</v>
      </c>
      <c r="H152" s="20">
        <v>3606</v>
      </c>
      <c r="I152" s="73">
        <v>8272</v>
      </c>
      <c r="J152" s="20">
        <v>0</v>
      </c>
      <c r="K152" s="73">
        <v>0</v>
      </c>
      <c r="L152" s="23">
        <v>623</v>
      </c>
    </row>
    <row r="153" spans="1:12" ht="25.5">
      <c r="A153" s="18" t="s">
        <v>427</v>
      </c>
      <c r="B153" s="19" t="s">
        <v>428</v>
      </c>
      <c r="C153" s="28">
        <f t="shared" si="49"/>
        <v>587635</v>
      </c>
      <c r="D153" s="20">
        <v>0</v>
      </c>
      <c r="E153" s="73">
        <v>0</v>
      </c>
      <c r="F153" s="20">
        <v>0</v>
      </c>
      <c r="G153" s="73">
        <v>0</v>
      </c>
      <c r="H153" s="20">
        <f>247417+119940</f>
        <v>367357</v>
      </c>
      <c r="I153" s="73">
        <v>0</v>
      </c>
      <c r="J153" s="20">
        <v>0</v>
      </c>
      <c r="K153" s="73">
        <v>0</v>
      </c>
      <c r="L153" s="20">
        <v>220278</v>
      </c>
    </row>
    <row r="154" spans="1:12" ht="38.25">
      <c r="A154" s="21" t="s">
        <v>429</v>
      </c>
      <c r="B154" s="22" t="s">
        <v>430</v>
      </c>
      <c r="C154" s="17">
        <f t="shared" si="49"/>
        <v>88145</v>
      </c>
      <c r="D154" s="23">
        <f>85212+2000</f>
        <v>87212</v>
      </c>
      <c r="E154" s="73">
        <v>0</v>
      </c>
      <c r="F154" s="20">
        <v>463</v>
      </c>
      <c r="G154" s="73">
        <v>0</v>
      </c>
      <c r="H154" s="20">
        <v>0</v>
      </c>
      <c r="I154" s="73">
        <v>0</v>
      </c>
      <c r="J154" s="20">
        <v>0</v>
      </c>
      <c r="K154" s="73">
        <v>0</v>
      </c>
      <c r="L154" s="23">
        <v>470</v>
      </c>
    </row>
    <row r="155" spans="1:12" ht="25.5">
      <c r="A155" s="15" t="s">
        <v>431</v>
      </c>
      <c r="B155" s="16" t="s">
        <v>432</v>
      </c>
      <c r="C155" s="17">
        <f>SUM(D155:L155)</f>
        <v>4300</v>
      </c>
      <c r="D155" s="17">
        <f aca="true" t="shared" si="55" ref="D155:L155">D156</f>
        <v>430</v>
      </c>
      <c r="E155" s="76">
        <f t="shared" si="55"/>
        <v>0</v>
      </c>
      <c r="F155" s="28">
        <f t="shared" si="55"/>
        <v>0</v>
      </c>
      <c r="G155" s="76">
        <f t="shared" si="55"/>
        <v>0</v>
      </c>
      <c r="H155" s="28">
        <f t="shared" si="55"/>
        <v>0</v>
      </c>
      <c r="I155" s="76">
        <f t="shared" si="55"/>
        <v>0</v>
      </c>
      <c r="J155" s="28">
        <f t="shared" si="55"/>
        <v>0</v>
      </c>
      <c r="K155" s="76">
        <f t="shared" si="55"/>
        <v>0</v>
      </c>
      <c r="L155" s="17">
        <f t="shared" si="55"/>
        <v>3870</v>
      </c>
    </row>
    <row r="156" spans="1:12" ht="19.5" customHeight="1">
      <c r="A156" s="21" t="s">
        <v>766</v>
      </c>
      <c r="B156" s="22" t="s">
        <v>767</v>
      </c>
      <c r="C156" s="17">
        <f t="shared" si="49"/>
        <v>4300</v>
      </c>
      <c r="D156" s="23">
        <v>430</v>
      </c>
      <c r="E156" s="73">
        <v>0</v>
      </c>
      <c r="F156" s="20">
        <v>0</v>
      </c>
      <c r="G156" s="73">
        <v>0</v>
      </c>
      <c r="H156" s="20">
        <v>0</v>
      </c>
      <c r="I156" s="73">
        <v>0</v>
      </c>
      <c r="J156" s="20">
        <v>0</v>
      </c>
      <c r="K156" s="73">
        <v>0</v>
      </c>
      <c r="L156" s="23">
        <v>3870</v>
      </c>
    </row>
    <row r="157" spans="1:12" ht="15">
      <c r="A157" s="68" t="s">
        <v>52</v>
      </c>
      <c r="B157" s="69" t="s">
        <v>177</v>
      </c>
      <c r="C157" s="70">
        <f>SUM(D157:L157)</f>
        <v>7484444</v>
      </c>
      <c r="D157" s="70">
        <f>D158+D166+D169+D172+D174+D176+D184</f>
        <v>4870513</v>
      </c>
      <c r="E157" s="71">
        <f aca="true" t="shared" si="56" ref="E157:L157">E158+E166+E169+E173+E175+E176+E184</f>
        <v>-41736</v>
      </c>
      <c r="F157" s="70">
        <f t="shared" si="56"/>
        <v>45048</v>
      </c>
      <c r="G157" s="71">
        <f t="shared" si="56"/>
        <v>445</v>
      </c>
      <c r="H157" s="70">
        <f t="shared" si="56"/>
        <v>2404142</v>
      </c>
      <c r="I157" s="71">
        <f t="shared" si="56"/>
        <v>0</v>
      </c>
      <c r="J157" s="70">
        <f t="shared" si="56"/>
        <v>8396</v>
      </c>
      <c r="K157" s="71">
        <f t="shared" si="56"/>
        <v>0</v>
      </c>
      <c r="L157" s="70">
        <f t="shared" si="56"/>
        <v>197636</v>
      </c>
    </row>
    <row r="158" spans="1:12" ht="25.5">
      <c r="A158" s="15" t="s">
        <v>433</v>
      </c>
      <c r="B158" s="16" t="s">
        <v>434</v>
      </c>
      <c r="C158" s="17">
        <f>SUM(D158:L158)</f>
        <v>1378244</v>
      </c>
      <c r="D158" s="17">
        <f aca="true" t="shared" si="57" ref="D158:L158">SUM(D159:D165)</f>
        <v>447631</v>
      </c>
      <c r="E158" s="72">
        <f t="shared" si="57"/>
        <v>0</v>
      </c>
      <c r="F158" s="17">
        <f t="shared" si="57"/>
        <v>26402</v>
      </c>
      <c r="G158" s="72">
        <f t="shared" si="57"/>
        <v>0</v>
      </c>
      <c r="H158" s="17">
        <f t="shared" si="57"/>
        <v>854826</v>
      </c>
      <c r="I158" s="72">
        <f t="shared" si="57"/>
        <v>0</v>
      </c>
      <c r="J158" s="17">
        <f t="shared" si="57"/>
        <v>7396</v>
      </c>
      <c r="K158" s="72">
        <f t="shared" si="57"/>
        <v>0</v>
      </c>
      <c r="L158" s="17">
        <f t="shared" si="57"/>
        <v>41989</v>
      </c>
    </row>
    <row r="159" spans="1:12" ht="38.25">
      <c r="A159" s="21" t="s">
        <v>435</v>
      </c>
      <c r="B159" s="22" t="s">
        <v>436</v>
      </c>
      <c r="C159" s="17">
        <f>SUM(D159:L159)</f>
        <v>683773</v>
      </c>
      <c r="D159" s="23">
        <f>177476-2500-18168-21600</f>
        <v>135208</v>
      </c>
      <c r="E159" s="73">
        <v>0</v>
      </c>
      <c r="F159" s="20">
        <v>0</v>
      </c>
      <c r="G159" s="73">
        <v>0</v>
      </c>
      <c r="H159" s="20">
        <v>548305</v>
      </c>
      <c r="I159" s="73">
        <v>0</v>
      </c>
      <c r="J159" s="23">
        <v>0</v>
      </c>
      <c r="K159" s="73">
        <v>0</v>
      </c>
      <c r="L159" s="23">
        <v>260</v>
      </c>
    </row>
    <row r="160" spans="1:12" ht="15">
      <c r="A160" s="21" t="s">
        <v>437</v>
      </c>
      <c r="B160" s="22" t="s">
        <v>438</v>
      </c>
      <c r="C160" s="17">
        <f aca="true" t="shared" si="58" ref="C160:C171">SUM(D160:L160)</f>
        <v>104762</v>
      </c>
      <c r="D160" s="23">
        <f>87025-289</f>
        <v>86736</v>
      </c>
      <c r="E160" s="73">
        <v>0</v>
      </c>
      <c r="F160" s="20">
        <v>8376</v>
      </c>
      <c r="G160" s="73">
        <v>0</v>
      </c>
      <c r="H160" s="20">
        <f>159+50</f>
        <v>209</v>
      </c>
      <c r="I160" s="73">
        <v>0</v>
      </c>
      <c r="J160" s="23">
        <v>7396</v>
      </c>
      <c r="K160" s="73">
        <v>0</v>
      </c>
      <c r="L160" s="23">
        <v>2045</v>
      </c>
    </row>
    <row r="161" spans="1:12" ht="15">
      <c r="A161" s="21" t="s">
        <v>439</v>
      </c>
      <c r="B161" s="22" t="s">
        <v>440</v>
      </c>
      <c r="C161" s="17">
        <f t="shared" si="58"/>
        <v>88001</v>
      </c>
      <c r="D161" s="23">
        <f>81166+193</f>
        <v>81359</v>
      </c>
      <c r="E161" s="73">
        <v>0</v>
      </c>
      <c r="F161" s="20">
        <v>6114</v>
      </c>
      <c r="G161" s="73">
        <v>0</v>
      </c>
      <c r="H161" s="20">
        <f>159+50</f>
        <v>209</v>
      </c>
      <c r="I161" s="73">
        <v>0</v>
      </c>
      <c r="J161" s="23">
        <v>0</v>
      </c>
      <c r="K161" s="73">
        <v>0</v>
      </c>
      <c r="L161" s="23">
        <v>319</v>
      </c>
    </row>
    <row r="162" spans="1:12" ht="15">
      <c r="A162" s="21" t="s">
        <v>441</v>
      </c>
      <c r="B162" s="22" t="s">
        <v>442</v>
      </c>
      <c r="C162" s="17">
        <f t="shared" si="58"/>
        <v>62740</v>
      </c>
      <c r="D162" s="23">
        <f>58344-3519</f>
        <v>54825</v>
      </c>
      <c r="E162" s="73">
        <v>0</v>
      </c>
      <c r="F162" s="20">
        <v>6737</v>
      </c>
      <c r="G162" s="73">
        <v>0</v>
      </c>
      <c r="H162" s="20">
        <f>175+50</f>
        <v>225</v>
      </c>
      <c r="I162" s="73">
        <v>0</v>
      </c>
      <c r="J162" s="23">
        <v>0</v>
      </c>
      <c r="K162" s="73">
        <v>0</v>
      </c>
      <c r="L162" s="23">
        <v>953</v>
      </c>
    </row>
    <row r="163" spans="1:12" ht="15">
      <c r="A163" s="21" t="s">
        <v>443</v>
      </c>
      <c r="B163" s="22" t="s">
        <v>444</v>
      </c>
      <c r="C163" s="17">
        <f t="shared" si="58"/>
        <v>119328</v>
      </c>
      <c r="D163" s="23">
        <v>49503</v>
      </c>
      <c r="E163" s="73">
        <v>0</v>
      </c>
      <c r="F163" s="20">
        <v>5175</v>
      </c>
      <c r="G163" s="73">
        <v>0</v>
      </c>
      <c r="H163" s="20">
        <f>61210+2062+100</f>
        <v>63372</v>
      </c>
      <c r="I163" s="73">
        <v>0</v>
      </c>
      <c r="J163" s="20">
        <v>0</v>
      </c>
      <c r="K163" s="73">
        <v>0</v>
      </c>
      <c r="L163" s="23">
        <v>1278</v>
      </c>
    </row>
    <row r="164" spans="1:12" ht="25.5">
      <c r="A164" s="21" t="s">
        <v>445</v>
      </c>
      <c r="B164" s="22" t="s">
        <v>446</v>
      </c>
      <c r="C164" s="17">
        <f t="shared" si="58"/>
        <v>297255</v>
      </c>
      <c r="D164" s="23">
        <f>20000+20000</f>
        <v>40000</v>
      </c>
      <c r="E164" s="73">
        <v>0</v>
      </c>
      <c r="F164" s="20">
        <v>0</v>
      </c>
      <c r="G164" s="73">
        <v>0</v>
      </c>
      <c r="H164" s="20">
        <v>235006</v>
      </c>
      <c r="I164" s="73">
        <v>0</v>
      </c>
      <c r="J164" s="20">
        <v>0</v>
      </c>
      <c r="K164" s="73">
        <v>0</v>
      </c>
      <c r="L164" s="23">
        <v>22249</v>
      </c>
    </row>
    <row r="165" spans="1:12" ht="76.5">
      <c r="A165" s="21" t="s">
        <v>447</v>
      </c>
      <c r="B165" s="22" t="s">
        <v>448</v>
      </c>
      <c r="C165" s="17">
        <f t="shared" si="58"/>
        <v>22385</v>
      </c>
      <c r="D165" s="23">
        <v>0</v>
      </c>
      <c r="E165" s="73">
        <v>0</v>
      </c>
      <c r="F165" s="20">
        <v>0</v>
      </c>
      <c r="G165" s="73">
        <v>0</v>
      </c>
      <c r="H165" s="20">
        <v>7500</v>
      </c>
      <c r="I165" s="73">
        <v>0</v>
      </c>
      <c r="J165" s="20">
        <v>0</v>
      </c>
      <c r="K165" s="73">
        <v>0</v>
      </c>
      <c r="L165" s="23">
        <v>14885</v>
      </c>
    </row>
    <row r="166" spans="1:12" ht="15">
      <c r="A166" s="15" t="s">
        <v>449</v>
      </c>
      <c r="B166" s="16" t="s">
        <v>450</v>
      </c>
      <c r="C166" s="17">
        <f>SUM(D166:L166)</f>
        <v>844318</v>
      </c>
      <c r="D166" s="17">
        <f>SUM(D167:D168)</f>
        <v>837771</v>
      </c>
      <c r="E166" s="76">
        <f aca="true" t="shared" si="59" ref="E166:L166">SUM(E167:E168)</f>
        <v>0</v>
      </c>
      <c r="F166" s="28">
        <f t="shared" si="59"/>
        <v>121</v>
      </c>
      <c r="G166" s="76">
        <f t="shared" si="59"/>
        <v>0</v>
      </c>
      <c r="H166" s="28">
        <f t="shared" si="59"/>
        <v>5914</v>
      </c>
      <c r="I166" s="76">
        <f t="shared" si="59"/>
        <v>0</v>
      </c>
      <c r="J166" s="28">
        <f t="shared" si="59"/>
        <v>0</v>
      </c>
      <c r="K166" s="72">
        <f t="shared" si="59"/>
        <v>0</v>
      </c>
      <c r="L166" s="17">
        <f t="shared" si="59"/>
        <v>512</v>
      </c>
    </row>
    <row r="167" spans="1:12" ht="22.5" customHeight="1">
      <c r="A167" s="21" t="s">
        <v>451</v>
      </c>
      <c r="B167" s="22" t="s">
        <v>452</v>
      </c>
      <c r="C167" s="17">
        <f t="shared" si="58"/>
        <v>275241</v>
      </c>
      <c r="D167" s="23">
        <f>265044+9572</f>
        <v>274616</v>
      </c>
      <c r="E167" s="73">
        <v>0</v>
      </c>
      <c r="F167" s="20">
        <v>0</v>
      </c>
      <c r="G167" s="73">
        <v>0</v>
      </c>
      <c r="H167" s="20">
        <f>246</f>
        <v>246</v>
      </c>
      <c r="I167" s="73">
        <v>0</v>
      </c>
      <c r="J167" s="20">
        <v>0</v>
      </c>
      <c r="K167" s="73">
        <v>0</v>
      </c>
      <c r="L167" s="23">
        <v>379</v>
      </c>
    </row>
    <row r="168" spans="1:12" ht="15">
      <c r="A168" s="21" t="s">
        <v>453</v>
      </c>
      <c r="B168" s="22" t="s">
        <v>454</v>
      </c>
      <c r="C168" s="17">
        <f t="shared" si="58"/>
        <v>569077</v>
      </c>
      <c r="D168" s="23">
        <f>311490-2500-2500+256665</f>
        <v>563155</v>
      </c>
      <c r="E168" s="73">
        <v>0</v>
      </c>
      <c r="F168" s="20">
        <v>121</v>
      </c>
      <c r="G168" s="73">
        <v>0</v>
      </c>
      <c r="H168" s="20">
        <f>5668</f>
        <v>5668</v>
      </c>
      <c r="I168" s="73">
        <v>0</v>
      </c>
      <c r="J168" s="20">
        <v>0</v>
      </c>
      <c r="K168" s="73">
        <v>0</v>
      </c>
      <c r="L168" s="23">
        <v>133</v>
      </c>
    </row>
    <row r="169" spans="1:12" ht="15">
      <c r="A169" s="15" t="s">
        <v>455</v>
      </c>
      <c r="B169" s="16" t="s">
        <v>456</v>
      </c>
      <c r="C169" s="17">
        <f>SUM(D169:L169)</f>
        <v>1385327</v>
      </c>
      <c r="D169" s="17">
        <f aca="true" t="shared" si="60" ref="D169:L169">SUM(D170:D171)</f>
        <v>1337534</v>
      </c>
      <c r="E169" s="76">
        <f t="shared" si="60"/>
        <v>0</v>
      </c>
      <c r="F169" s="28">
        <f t="shared" si="60"/>
        <v>5850</v>
      </c>
      <c r="G169" s="76">
        <f t="shared" si="60"/>
        <v>445</v>
      </c>
      <c r="H169" s="28">
        <f t="shared" si="60"/>
        <v>41497</v>
      </c>
      <c r="I169" s="76">
        <f t="shared" si="60"/>
        <v>0</v>
      </c>
      <c r="J169" s="28">
        <f t="shared" si="60"/>
        <v>0</v>
      </c>
      <c r="K169" s="72">
        <f t="shared" si="60"/>
        <v>0</v>
      </c>
      <c r="L169" s="17">
        <f t="shared" si="60"/>
        <v>1</v>
      </c>
    </row>
    <row r="170" spans="1:12" ht="38.25">
      <c r="A170" s="21" t="s">
        <v>457</v>
      </c>
      <c r="B170" s="22" t="s">
        <v>458</v>
      </c>
      <c r="C170" s="17">
        <f t="shared" si="58"/>
        <v>1180777</v>
      </c>
      <c r="D170" s="23">
        <f>985317+35000+48168+64500</f>
        <v>1132985</v>
      </c>
      <c r="E170" s="73">
        <v>0</v>
      </c>
      <c r="F170" s="20">
        <v>5850</v>
      </c>
      <c r="G170" s="73">
        <v>445</v>
      </c>
      <c r="H170" s="20">
        <f>31213+3618+5564+1102</f>
        <v>41497</v>
      </c>
      <c r="I170" s="73">
        <v>0</v>
      </c>
      <c r="J170" s="20">
        <v>0</v>
      </c>
      <c r="K170" s="73">
        <v>0</v>
      </c>
      <c r="L170" s="23">
        <v>0</v>
      </c>
    </row>
    <row r="171" spans="1:12" ht="25.5">
      <c r="A171" s="21" t="s">
        <v>459</v>
      </c>
      <c r="B171" s="22" t="s">
        <v>835</v>
      </c>
      <c r="C171" s="17">
        <f t="shared" si="58"/>
        <v>204550</v>
      </c>
      <c r="D171" s="23">
        <v>204549</v>
      </c>
      <c r="E171" s="73">
        <v>0</v>
      </c>
      <c r="F171" s="20">
        <v>0</v>
      </c>
      <c r="G171" s="73">
        <v>0</v>
      </c>
      <c r="H171" s="20">
        <v>0</v>
      </c>
      <c r="I171" s="73">
        <v>0</v>
      </c>
      <c r="J171" s="20">
        <v>0</v>
      </c>
      <c r="K171" s="73">
        <v>0</v>
      </c>
      <c r="L171" s="23">
        <v>1</v>
      </c>
    </row>
    <row r="172" spans="1:12" ht="15">
      <c r="A172" s="15" t="s">
        <v>460</v>
      </c>
      <c r="B172" s="16" t="s">
        <v>461</v>
      </c>
      <c r="C172" s="17">
        <f>SUM(D172:L172)</f>
        <v>69770</v>
      </c>
      <c r="D172" s="17">
        <f>D173</f>
        <v>28850</v>
      </c>
      <c r="E172" s="72">
        <f aca="true" t="shared" si="61" ref="E172:L172">E173</f>
        <v>0</v>
      </c>
      <c r="F172" s="17">
        <f t="shared" si="61"/>
        <v>0</v>
      </c>
      <c r="G172" s="72">
        <f t="shared" si="61"/>
        <v>0</v>
      </c>
      <c r="H172" s="17">
        <f t="shared" si="61"/>
        <v>40920</v>
      </c>
      <c r="I172" s="72">
        <f t="shared" si="61"/>
        <v>0</v>
      </c>
      <c r="J172" s="17">
        <f t="shared" si="61"/>
        <v>0</v>
      </c>
      <c r="K172" s="72">
        <f t="shared" si="61"/>
        <v>0</v>
      </c>
      <c r="L172" s="17">
        <f t="shared" si="61"/>
        <v>0</v>
      </c>
    </row>
    <row r="173" spans="1:12" ht="15">
      <c r="A173" s="21" t="s">
        <v>462</v>
      </c>
      <c r="B173" s="22" t="s">
        <v>461</v>
      </c>
      <c r="C173" s="17">
        <f>SUM(D173:L173)</f>
        <v>69770</v>
      </c>
      <c r="D173" s="23">
        <f>21850+7000</f>
        <v>28850</v>
      </c>
      <c r="E173" s="73"/>
      <c r="F173" s="20">
        <v>0</v>
      </c>
      <c r="G173" s="73"/>
      <c r="H173" s="20">
        <f>30000+10920</f>
        <v>40920</v>
      </c>
      <c r="I173" s="73"/>
      <c r="J173" s="20">
        <v>0</v>
      </c>
      <c r="K173" s="73"/>
      <c r="L173" s="23">
        <v>0</v>
      </c>
    </row>
    <row r="174" spans="1:12" ht="15">
      <c r="A174" s="15" t="s">
        <v>463</v>
      </c>
      <c r="B174" s="16" t="s">
        <v>464</v>
      </c>
      <c r="C174" s="17">
        <f>SUM(D174:L174)</f>
        <v>367196</v>
      </c>
      <c r="D174" s="17">
        <f>D175</f>
        <v>369196</v>
      </c>
      <c r="E174" s="72">
        <f aca="true" t="shared" si="62" ref="E174:L174">E175</f>
        <v>-2000</v>
      </c>
      <c r="F174" s="17">
        <f t="shared" si="62"/>
        <v>0</v>
      </c>
      <c r="G174" s="72">
        <f t="shared" si="62"/>
        <v>0</v>
      </c>
      <c r="H174" s="17">
        <f t="shared" si="62"/>
        <v>0</v>
      </c>
      <c r="I174" s="72">
        <f t="shared" si="62"/>
        <v>0</v>
      </c>
      <c r="J174" s="17">
        <f t="shared" si="62"/>
        <v>0</v>
      </c>
      <c r="K174" s="72">
        <f t="shared" si="62"/>
        <v>0</v>
      </c>
      <c r="L174" s="17">
        <f t="shared" si="62"/>
        <v>0</v>
      </c>
    </row>
    <row r="175" spans="1:12" ht="35.25" customHeight="1">
      <c r="A175" s="21" t="s">
        <v>465</v>
      </c>
      <c r="B175" s="22" t="s">
        <v>466</v>
      </c>
      <c r="C175" s="17">
        <f>SUM(D175:L175)</f>
        <v>367196</v>
      </c>
      <c r="D175" s="23">
        <v>369196</v>
      </c>
      <c r="E175" s="73">
        <v>-2000</v>
      </c>
      <c r="F175" s="20">
        <v>0</v>
      </c>
      <c r="G175" s="73">
        <v>0</v>
      </c>
      <c r="H175" s="20">
        <v>0</v>
      </c>
      <c r="I175" s="73">
        <v>0</v>
      </c>
      <c r="J175" s="20">
        <v>0</v>
      </c>
      <c r="K175" s="73">
        <v>0</v>
      </c>
      <c r="L175" s="23">
        <v>0</v>
      </c>
    </row>
    <row r="176" spans="1:12" ht="40.5" customHeight="1">
      <c r="A176" s="15" t="s">
        <v>467</v>
      </c>
      <c r="B176" s="16" t="s">
        <v>468</v>
      </c>
      <c r="C176" s="17">
        <f>SUM(D176:L176)</f>
        <v>2091276</v>
      </c>
      <c r="D176" s="17">
        <f>SUM(D177:D183)</f>
        <v>475792</v>
      </c>
      <c r="E176" s="72">
        <f aca="true" t="shared" si="63" ref="E176:L176">SUM(E177:E183)</f>
        <v>0</v>
      </c>
      <c r="F176" s="17">
        <f t="shared" si="63"/>
        <v>12575</v>
      </c>
      <c r="G176" s="72">
        <f t="shared" si="63"/>
        <v>0</v>
      </c>
      <c r="H176" s="17">
        <f t="shared" si="63"/>
        <v>1452399</v>
      </c>
      <c r="I176" s="72">
        <f t="shared" si="63"/>
        <v>0</v>
      </c>
      <c r="J176" s="17">
        <f t="shared" si="63"/>
        <v>1000</v>
      </c>
      <c r="K176" s="72">
        <f t="shared" si="63"/>
        <v>0</v>
      </c>
      <c r="L176" s="17">
        <f t="shared" si="63"/>
        <v>149510</v>
      </c>
    </row>
    <row r="177" spans="1:12" ht="15">
      <c r="A177" s="21" t="s">
        <v>469</v>
      </c>
      <c r="B177" s="22" t="s">
        <v>470</v>
      </c>
      <c r="C177" s="17">
        <f aca="true" t="shared" si="64" ref="C177:C188">SUM(D177:L177)</f>
        <v>9340</v>
      </c>
      <c r="D177" s="23">
        <f>8580+760</f>
        <v>9340</v>
      </c>
      <c r="E177" s="73">
        <v>0</v>
      </c>
      <c r="F177" s="20">
        <v>0</v>
      </c>
      <c r="G177" s="73">
        <v>0</v>
      </c>
      <c r="H177" s="20">
        <v>0</v>
      </c>
      <c r="I177" s="73">
        <v>0</v>
      </c>
      <c r="J177" s="20">
        <v>0</v>
      </c>
      <c r="K177" s="73">
        <v>0</v>
      </c>
      <c r="L177" s="23">
        <v>0</v>
      </c>
    </row>
    <row r="178" spans="1:12" ht="53.25" customHeight="1">
      <c r="A178" s="21" t="s">
        <v>471</v>
      </c>
      <c r="B178" s="22" t="s">
        <v>472</v>
      </c>
      <c r="C178" s="17">
        <f t="shared" si="64"/>
        <v>154982</v>
      </c>
      <c r="D178" s="23">
        <f>73329+25000+40000+15840</f>
        <v>154169</v>
      </c>
      <c r="E178" s="73">
        <v>0</v>
      </c>
      <c r="F178" s="20">
        <v>0</v>
      </c>
      <c r="G178" s="73">
        <v>0</v>
      </c>
      <c r="H178" s="20">
        <f>813</f>
        <v>813</v>
      </c>
      <c r="I178" s="73">
        <v>0</v>
      </c>
      <c r="J178" s="20">
        <v>0</v>
      </c>
      <c r="K178" s="73">
        <v>0</v>
      </c>
      <c r="L178" s="23">
        <v>0</v>
      </c>
    </row>
    <row r="179" spans="1:12" ht="15">
      <c r="A179" s="21" t="s">
        <v>473</v>
      </c>
      <c r="B179" s="22" t="s">
        <v>474</v>
      </c>
      <c r="C179" s="17">
        <f t="shared" si="64"/>
        <v>91990</v>
      </c>
      <c r="D179" s="23">
        <f>82597+3615</f>
        <v>86212</v>
      </c>
      <c r="E179" s="73">
        <v>0</v>
      </c>
      <c r="F179" s="20">
        <v>5475</v>
      </c>
      <c r="G179" s="73">
        <v>0</v>
      </c>
      <c r="H179" s="20">
        <f>92+100</f>
        <v>192</v>
      </c>
      <c r="I179" s="73">
        <v>0</v>
      </c>
      <c r="J179" s="20">
        <v>0</v>
      </c>
      <c r="K179" s="73">
        <v>0</v>
      </c>
      <c r="L179" s="23">
        <v>111</v>
      </c>
    </row>
    <row r="180" spans="1:12" ht="15">
      <c r="A180" s="21" t="s">
        <v>475</v>
      </c>
      <c r="B180" s="22" t="s">
        <v>476</v>
      </c>
      <c r="C180" s="17">
        <f t="shared" si="64"/>
        <v>15573</v>
      </c>
      <c r="D180" s="23">
        <v>13073</v>
      </c>
      <c r="E180" s="73">
        <v>0</v>
      </c>
      <c r="F180" s="20">
        <v>2500</v>
      </c>
      <c r="G180" s="73">
        <v>0</v>
      </c>
      <c r="H180" s="20">
        <v>0</v>
      </c>
      <c r="I180" s="73">
        <v>0</v>
      </c>
      <c r="J180" s="20">
        <v>0</v>
      </c>
      <c r="K180" s="73">
        <v>0</v>
      </c>
      <c r="L180" s="23">
        <v>0</v>
      </c>
    </row>
    <row r="181" spans="1:12" ht="25.5">
      <c r="A181" s="21" t="s">
        <v>477</v>
      </c>
      <c r="B181" s="22" t="s">
        <v>478</v>
      </c>
      <c r="C181" s="17">
        <f t="shared" si="64"/>
        <v>225790</v>
      </c>
      <c r="D181" s="23">
        <f>246270-30000-3272</f>
        <v>212998</v>
      </c>
      <c r="E181" s="73">
        <v>0</v>
      </c>
      <c r="F181" s="20">
        <v>4600</v>
      </c>
      <c r="G181" s="73">
        <v>0</v>
      </c>
      <c r="H181" s="20">
        <f>1486+100</f>
        <v>1586</v>
      </c>
      <c r="I181" s="73">
        <v>0</v>
      </c>
      <c r="J181" s="20">
        <v>1000</v>
      </c>
      <c r="K181" s="73">
        <v>0</v>
      </c>
      <c r="L181" s="23">
        <v>5606</v>
      </c>
    </row>
    <row r="182" spans="1:12" ht="38.25">
      <c r="A182" s="21" t="s">
        <v>479</v>
      </c>
      <c r="B182" s="22" t="s">
        <v>768</v>
      </c>
      <c r="C182" s="17">
        <f t="shared" si="64"/>
        <v>1262580</v>
      </c>
      <c r="D182" s="23">
        <f>2247001-2247001</f>
        <v>0</v>
      </c>
      <c r="E182" s="73">
        <v>0</v>
      </c>
      <c r="F182" s="20">
        <v>0</v>
      </c>
      <c r="G182" s="73">
        <v>0</v>
      </c>
      <c r="H182" s="20">
        <v>1118787</v>
      </c>
      <c r="I182" s="73">
        <v>0</v>
      </c>
      <c r="J182" s="20">
        <v>0</v>
      </c>
      <c r="K182" s="73">
        <v>0</v>
      </c>
      <c r="L182" s="23">
        <v>143793</v>
      </c>
    </row>
    <row r="183" spans="1:12" ht="63.75">
      <c r="A183" s="21" t="s">
        <v>769</v>
      </c>
      <c r="B183" s="22" t="s">
        <v>770</v>
      </c>
      <c r="C183" s="17">
        <f t="shared" si="64"/>
        <v>331021</v>
      </c>
      <c r="D183" s="23">
        <f>245409-245409</f>
        <v>0</v>
      </c>
      <c r="E183" s="73">
        <v>0</v>
      </c>
      <c r="F183" s="20">
        <v>0</v>
      </c>
      <c r="G183" s="73">
        <v>0</v>
      </c>
      <c r="H183" s="20">
        <v>331021</v>
      </c>
      <c r="I183" s="73">
        <v>0</v>
      </c>
      <c r="J183" s="20">
        <v>0</v>
      </c>
      <c r="K183" s="73">
        <v>0</v>
      </c>
      <c r="L183" s="23">
        <v>0</v>
      </c>
    </row>
    <row r="184" spans="1:12" ht="25.5">
      <c r="A184" s="15" t="s">
        <v>480</v>
      </c>
      <c r="B184" s="16" t="s">
        <v>481</v>
      </c>
      <c r="C184" s="17">
        <f>SUM(D184:L184)</f>
        <v>1348313</v>
      </c>
      <c r="D184" s="17">
        <f>SUM(D185:D188)</f>
        <v>1373739</v>
      </c>
      <c r="E184" s="76">
        <f aca="true" t="shared" si="65" ref="E184:L184">SUM(E185:E188)</f>
        <v>-39736</v>
      </c>
      <c r="F184" s="28">
        <f t="shared" si="65"/>
        <v>100</v>
      </c>
      <c r="G184" s="76">
        <f t="shared" si="65"/>
        <v>0</v>
      </c>
      <c r="H184" s="28">
        <f t="shared" si="65"/>
        <v>8586</v>
      </c>
      <c r="I184" s="76">
        <f t="shared" si="65"/>
        <v>0</v>
      </c>
      <c r="J184" s="28">
        <f t="shared" si="65"/>
        <v>0</v>
      </c>
      <c r="K184" s="72">
        <f t="shared" si="65"/>
        <v>0</v>
      </c>
      <c r="L184" s="17">
        <f t="shared" si="65"/>
        <v>5624</v>
      </c>
    </row>
    <row r="185" spans="1:12" ht="38.25">
      <c r="A185" s="21" t="s">
        <v>482</v>
      </c>
      <c r="B185" s="22" t="s">
        <v>483</v>
      </c>
      <c r="C185" s="17">
        <f t="shared" si="64"/>
        <v>1148122</v>
      </c>
      <c r="D185" s="23">
        <f>1135621+5200</f>
        <v>1140821</v>
      </c>
      <c r="E185" s="73">
        <v>0</v>
      </c>
      <c r="F185" s="20">
        <v>100</v>
      </c>
      <c r="G185" s="73">
        <v>0</v>
      </c>
      <c r="H185" s="20">
        <f>1586</f>
        <v>1586</v>
      </c>
      <c r="I185" s="73">
        <v>0</v>
      </c>
      <c r="J185" s="20">
        <v>0</v>
      </c>
      <c r="K185" s="73">
        <v>0</v>
      </c>
      <c r="L185" s="23">
        <v>5615</v>
      </c>
    </row>
    <row r="186" spans="1:12" ht="25.5">
      <c r="A186" s="21" t="s">
        <v>484</v>
      </c>
      <c r="B186" s="22" t="s">
        <v>485</v>
      </c>
      <c r="C186" s="17">
        <f>SUM(D186:L186)</f>
        <v>25350</v>
      </c>
      <c r="D186" s="23">
        <f>10850+5000+2500</f>
        <v>18350</v>
      </c>
      <c r="E186" s="73">
        <v>0</v>
      </c>
      <c r="F186" s="20">
        <v>0</v>
      </c>
      <c r="G186" s="73">
        <v>0</v>
      </c>
      <c r="H186" s="20">
        <f>4000+3000</f>
        <v>7000</v>
      </c>
      <c r="I186" s="73">
        <v>0</v>
      </c>
      <c r="J186" s="20">
        <v>0</v>
      </c>
      <c r="K186" s="73">
        <v>0</v>
      </c>
      <c r="L186" s="23">
        <v>0</v>
      </c>
    </row>
    <row r="187" spans="1:12" ht="38.25">
      <c r="A187" s="21" t="s">
        <v>486</v>
      </c>
      <c r="B187" s="22" t="s">
        <v>487</v>
      </c>
      <c r="C187" s="17">
        <f>SUM(D187:L187)</f>
        <v>174841</v>
      </c>
      <c r="D187" s="23">
        <f>269241-54673</f>
        <v>214568</v>
      </c>
      <c r="E187" s="73">
        <v>-39736</v>
      </c>
      <c r="F187" s="23">
        <v>0</v>
      </c>
      <c r="G187" s="73">
        <v>0</v>
      </c>
      <c r="H187" s="23">
        <v>0</v>
      </c>
      <c r="I187" s="73">
        <v>0</v>
      </c>
      <c r="J187" s="23">
        <v>0</v>
      </c>
      <c r="K187" s="73">
        <v>0</v>
      </c>
      <c r="L187" s="23">
        <v>9</v>
      </c>
    </row>
    <row r="188" spans="1:12" ht="15" hidden="1">
      <c r="A188" s="245" t="s">
        <v>488</v>
      </c>
      <c r="B188" s="246" t="s">
        <v>489</v>
      </c>
      <c r="C188" s="247">
        <f t="shared" si="64"/>
        <v>0</v>
      </c>
      <c r="D188" s="248">
        <v>0</v>
      </c>
      <c r="E188" s="249">
        <v>0</v>
      </c>
      <c r="F188" s="248">
        <v>0</v>
      </c>
      <c r="G188" s="249">
        <v>0</v>
      </c>
      <c r="H188" s="248">
        <v>0</v>
      </c>
      <c r="I188" s="249">
        <v>0</v>
      </c>
      <c r="J188" s="248">
        <v>0</v>
      </c>
      <c r="K188" s="249">
        <v>0</v>
      </c>
      <c r="L188" s="248">
        <v>0</v>
      </c>
    </row>
    <row r="189" spans="1:12" ht="15">
      <c r="A189" s="67"/>
      <c r="B189" s="86" t="s">
        <v>178</v>
      </c>
      <c r="C189" s="14">
        <f aca="true" t="shared" si="66" ref="C189:C197">SUM(D189:L189)</f>
        <v>9680248</v>
      </c>
      <c r="D189" s="14">
        <f>D190+D191+D197</f>
        <v>552570</v>
      </c>
      <c r="E189" s="14">
        <f aca="true" t="shared" si="67" ref="E189:L189">E190+E191+E197</f>
        <v>-45624</v>
      </c>
      <c r="F189" s="14">
        <f t="shared" si="67"/>
        <v>0</v>
      </c>
      <c r="G189" s="14">
        <f t="shared" si="67"/>
        <v>0</v>
      </c>
      <c r="H189" s="14">
        <f t="shared" si="67"/>
        <v>3670294</v>
      </c>
      <c r="I189" s="14">
        <f t="shared" si="67"/>
        <v>573</v>
      </c>
      <c r="J189" s="14">
        <f t="shared" si="67"/>
        <v>0</v>
      </c>
      <c r="K189" s="14">
        <f t="shared" si="67"/>
        <v>0</v>
      </c>
      <c r="L189" s="14">
        <f t="shared" si="67"/>
        <v>5502435</v>
      </c>
    </row>
    <row r="190" spans="1:12" ht="25.5">
      <c r="A190" s="15" t="s">
        <v>179</v>
      </c>
      <c r="B190" s="16" t="s">
        <v>180</v>
      </c>
      <c r="C190" s="17">
        <f t="shared" si="66"/>
        <v>9173302</v>
      </c>
      <c r="D190" s="17">
        <v>0</v>
      </c>
      <c r="E190" s="73">
        <v>0</v>
      </c>
      <c r="F190" s="28">
        <v>0</v>
      </c>
      <c r="G190" s="73">
        <v>0</v>
      </c>
      <c r="H190" s="28">
        <f>3500927+109410+59957</f>
        <v>3670294</v>
      </c>
      <c r="I190" s="73">
        <v>573</v>
      </c>
      <c r="J190" s="28">
        <v>0</v>
      </c>
      <c r="K190" s="73">
        <v>0</v>
      </c>
      <c r="L190" s="17">
        <v>5502435</v>
      </c>
    </row>
    <row r="191" spans="1:12" ht="25.5">
      <c r="A191" s="15" t="s">
        <v>181</v>
      </c>
      <c r="B191" s="16" t="s">
        <v>182</v>
      </c>
      <c r="C191" s="17">
        <f t="shared" si="66"/>
        <v>364696</v>
      </c>
      <c r="D191" s="17">
        <f>SUM(D192:D196)</f>
        <v>364696</v>
      </c>
      <c r="E191" s="76">
        <f aca="true" t="shared" si="68" ref="E191:L191">SUM(E192:E196)</f>
        <v>0</v>
      </c>
      <c r="F191" s="28">
        <f t="shared" si="68"/>
        <v>0</v>
      </c>
      <c r="G191" s="76">
        <f t="shared" si="68"/>
        <v>0</v>
      </c>
      <c r="H191" s="28">
        <f t="shared" si="68"/>
        <v>0</v>
      </c>
      <c r="I191" s="76">
        <f t="shared" si="68"/>
        <v>0</v>
      </c>
      <c r="J191" s="28">
        <f t="shared" si="68"/>
        <v>0</v>
      </c>
      <c r="K191" s="72">
        <f t="shared" si="68"/>
        <v>0</v>
      </c>
      <c r="L191" s="17">
        <f t="shared" si="68"/>
        <v>0</v>
      </c>
    </row>
    <row r="192" spans="1:12" ht="25.5" hidden="1">
      <c r="A192" s="132"/>
      <c r="B192" s="31" t="s">
        <v>490</v>
      </c>
      <c r="C192" s="74">
        <f t="shared" si="66"/>
        <v>0</v>
      </c>
      <c r="D192" s="32">
        <v>0</v>
      </c>
      <c r="E192" s="75">
        <v>0</v>
      </c>
      <c r="F192" s="32">
        <v>0</v>
      </c>
      <c r="G192" s="75">
        <v>0</v>
      </c>
      <c r="H192" s="32">
        <v>0</v>
      </c>
      <c r="I192" s="75">
        <v>0</v>
      </c>
      <c r="J192" s="32">
        <v>0</v>
      </c>
      <c r="K192" s="75">
        <v>0</v>
      </c>
      <c r="L192" s="133">
        <v>0</v>
      </c>
    </row>
    <row r="193" spans="1:12" ht="15">
      <c r="A193" s="356"/>
      <c r="B193" s="19" t="s">
        <v>184</v>
      </c>
      <c r="C193" s="28">
        <f t="shared" si="66"/>
        <v>25000</v>
      </c>
      <c r="D193" s="20">
        <f>25000</f>
        <v>25000</v>
      </c>
      <c r="E193" s="73">
        <v>0</v>
      </c>
      <c r="F193" s="20">
        <v>0</v>
      </c>
      <c r="G193" s="73">
        <v>0</v>
      </c>
      <c r="H193" s="20">
        <v>0</v>
      </c>
      <c r="I193" s="73">
        <v>0</v>
      </c>
      <c r="J193" s="20">
        <v>0</v>
      </c>
      <c r="K193" s="73">
        <v>0</v>
      </c>
      <c r="L193" s="357">
        <v>0</v>
      </c>
    </row>
    <row r="194" spans="1:12" ht="16.5" customHeight="1">
      <c r="A194" s="43"/>
      <c r="B194" s="22" t="s">
        <v>185</v>
      </c>
      <c r="C194" s="17">
        <f t="shared" si="66"/>
        <v>339696</v>
      </c>
      <c r="D194" s="23">
        <v>339696</v>
      </c>
      <c r="E194" s="73">
        <v>0</v>
      </c>
      <c r="F194" s="20">
        <v>0</v>
      </c>
      <c r="G194" s="73">
        <v>0</v>
      </c>
      <c r="H194" s="20">
        <v>0</v>
      </c>
      <c r="I194" s="82">
        <v>0</v>
      </c>
      <c r="J194" s="23">
        <v>0</v>
      </c>
      <c r="K194" s="82">
        <v>0</v>
      </c>
      <c r="L194" s="87">
        <v>0</v>
      </c>
    </row>
    <row r="195" spans="1:12" ht="15" hidden="1">
      <c r="A195" s="132"/>
      <c r="B195" s="31" t="s">
        <v>186</v>
      </c>
      <c r="C195" s="74">
        <f t="shared" si="66"/>
        <v>0</v>
      </c>
      <c r="D195" s="32">
        <v>0</v>
      </c>
      <c r="E195" s="75">
        <v>0</v>
      </c>
      <c r="F195" s="32">
        <v>0</v>
      </c>
      <c r="G195" s="75">
        <v>0</v>
      </c>
      <c r="H195" s="32">
        <v>0</v>
      </c>
      <c r="I195" s="75">
        <v>0</v>
      </c>
      <c r="J195" s="32">
        <v>0</v>
      </c>
      <c r="K195" s="75">
        <v>0</v>
      </c>
      <c r="L195" s="133">
        <v>0</v>
      </c>
    </row>
    <row r="196" spans="1:12" ht="15" hidden="1">
      <c r="A196" s="132"/>
      <c r="B196" s="31" t="s">
        <v>187</v>
      </c>
      <c r="C196" s="74">
        <f t="shared" si="66"/>
        <v>0</v>
      </c>
      <c r="D196" s="32">
        <v>0</v>
      </c>
      <c r="E196" s="75">
        <v>0</v>
      </c>
      <c r="F196" s="32">
        <v>0</v>
      </c>
      <c r="G196" s="75">
        <v>0</v>
      </c>
      <c r="H196" s="32">
        <v>0</v>
      </c>
      <c r="I196" s="75">
        <v>0</v>
      </c>
      <c r="J196" s="32">
        <v>0</v>
      </c>
      <c r="K196" s="75">
        <v>0</v>
      </c>
      <c r="L196" s="133">
        <v>0</v>
      </c>
    </row>
    <row r="197" spans="1:12" ht="25.5">
      <c r="A197" s="15" t="s">
        <v>147</v>
      </c>
      <c r="B197" s="16" t="s">
        <v>188</v>
      </c>
      <c r="C197" s="17">
        <f t="shared" si="66"/>
        <v>142250</v>
      </c>
      <c r="D197" s="83">
        <f>871020-327307-15000-135435-205404</f>
        <v>187874</v>
      </c>
      <c r="E197" s="73">
        <f>-37124-5000-3500</f>
        <v>-45624</v>
      </c>
      <c r="F197" s="37">
        <v>0</v>
      </c>
      <c r="G197" s="88">
        <v>0</v>
      </c>
      <c r="H197" s="37">
        <v>0</v>
      </c>
      <c r="I197" s="88">
        <v>0</v>
      </c>
      <c r="J197" s="83">
        <v>0</v>
      </c>
      <c r="K197" s="89">
        <v>0</v>
      </c>
      <c r="L197" s="83">
        <v>0</v>
      </c>
    </row>
    <row r="198" spans="1:12" ht="15">
      <c r="A198" s="134"/>
      <c r="B198" s="90" t="s">
        <v>491</v>
      </c>
      <c r="C198" s="91">
        <f aca="true" t="shared" si="69" ref="C198:L198">C11+C189</f>
        <v>103797652</v>
      </c>
      <c r="D198" s="91">
        <f t="shared" si="69"/>
        <v>59492898</v>
      </c>
      <c r="E198" s="92">
        <f t="shared" si="69"/>
        <v>0</v>
      </c>
      <c r="F198" s="91">
        <f t="shared" si="69"/>
        <v>1588332</v>
      </c>
      <c r="G198" s="92">
        <f t="shared" si="69"/>
        <v>4485</v>
      </c>
      <c r="H198" s="91">
        <f t="shared" si="69"/>
        <v>33108450</v>
      </c>
      <c r="I198" s="92">
        <f t="shared" si="69"/>
        <v>82416</v>
      </c>
      <c r="J198" s="91">
        <f t="shared" si="69"/>
        <v>688859</v>
      </c>
      <c r="K198" s="92">
        <f t="shared" si="69"/>
        <v>0</v>
      </c>
      <c r="L198" s="91">
        <f t="shared" si="69"/>
        <v>8832212</v>
      </c>
    </row>
    <row r="199" spans="1:11" ht="15">
      <c r="A199" s="114"/>
      <c r="B199" s="115"/>
      <c r="C199" s="116"/>
      <c r="D199" s="114"/>
      <c r="E199" s="117"/>
      <c r="F199" s="114"/>
      <c r="G199" s="117"/>
      <c r="H199" s="114"/>
      <c r="I199" s="117"/>
      <c r="J199" s="114"/>
      <c r="K199" s="117"/>
    </row>
    <row r="200" spans="1:12" ht="18.75">
      <c r="A200" s="410" t="s">
        <v>152</v>
      </c>
      <c r="B200" s="410"/>
      <c r="C200" s="135"/>
      <c r="D200" s="126"/>
      <c r="E200" s="136"/>
      <c r="F200" s="126"/>
      <c r="G200" s="137"/>
      <c r="H200" s="126"/>
      <c r="I200" s="137"/>
      <c r="J200" s="126"/>
      <c r="K200" s="411" t="s">
        <v>153</v>
      </c>
      <c r="L200" s="411"/>
    </row>
    <row r="201" spans="1:11" ht="15">
      <c r="A201" s="114"/>
      <c r="B201" s="115"/>
      <c r="C201" s="116"/>
      <c r="D201" s="114"/>
      <c r="E201" s="117"/>
      <c r="F201" s="114"/>
      <c r="G201" s="117"/>
      <c r="H201" s="114"/>
      <c r="I201" s="117"/>
      <c r="J201" s="114"/>
      <c r="K201" s="117"/>
    </row>
    <row r="202" spans="1:11" ht="15">
      <c r="A202" s="114"/>
      <c r="B202" s="115"/>
      <c r="C202" s="116"/>
      <c r="D202" s="114"/>
      <c r="E202" s="118"/>
      <c r="F202" s="114"/>
      <c r="G202" s="117"/>
      <c r="H202" s="114"/>
      <c r="I202" s="117"/>
      <c r="J202" s="114"/>
      <c r="K202" s="117"/>
    </row>
    <row r="203" spans="1:11" ht="15">
      <c r="A203" s="114"/>
      <c r="C203" s="116"/>
      <c r="D203" s="114"/>
      <c r="E203" s="117"/>
      <c r="F203" s="114"/>
      <c r="G203" s="117"/>
      <c r="H203" s="114"/>
      <c r="I203" s="117"/>
      <c r="J203" s="114"/>
      <c r="K203" s="117"/>
    </row>
    <row r="204" spans="1:11" ht="15">
      <c r="A204" s="114"/>
      <c r="C204" s="116"/>
      <c r="D204" s="114"/>
      <c r="E204" s="117"/>
      <c r="F204" s="114"/>
      <c r="G204" s="117"/>
      <c r="H204" s="114"/>
      <c r="I204" s="117"/>
      <c r="J204" s="114"/>
      <c r="K204" s="117"/>
    </row>
    <row r="205" spans="1:11" ht="15">
      <c r="A205" s="114"/>
      <c r="C205" s="116"/>
      <c r="D205" s="114"/>
      <c r="E205" s="117"/>
      <c r="F205" s="114"/>
      <c r="G205" s="117"/>
      <c r="H205" s="114"/>
      <c r="I205" s="117"/>
      <c r="J205" s="114"/>
      <c r="K205" s="117"/>
    </row>
    <row r="206" spans="1:11" ht="15">
      <c r="A206" s="114"/>
      <c r="C206" s="116"/>
      <c r="D206" s="114"/>
      <c r="E206" s="117"/>
      <c r="F206" s="114"/>
      <c r="G206" s="117"/>
      <c r="H206" s="114"/>
      <c r="I206" s="117"/>
      <c r="J206" s="114"/>
      <c r="K206" s="117"/>
    </row>
    <row r="207" spans="1:11" ht="15">
      <c r="A207" s="114"/>
      <c r="C207" s="116"/>
      <c r="D207" s="114"/>
      <c r="E207" s="117"/>
      <c r="F207" s="114"/>
      <c r="G207" s="117"/>
      <c r="H207" s="114"/>
      <c r="I207" s="117"/>
      <c r="J207" s="114"/>
      <c r="K207" s="117"/>
    </row>
    <row r="208" spans="1:11" ht="15">
      <c r="A208" s="114"/>
      <c r="B208" s="115"/>
      <c r="C208" s="116"/>
      <c r="D208" s="114"/>
      <c r="E208" s="117"/>
      <c r="F208" s="114"/>
      <c r="G208" s="117"/>
      <c r="H208" s="114"/>
      <c r="I208" s="117"/>
      <c r="J208" s="114"/>
      <c r="K208" s="117"/>
    </row>
    <row r="209" spans="1:11" ht="15">
      <c r="A209" s="114"/>
      <c r="B209" s="115"/>
      <c r="C209" s="116"/>
      <c r="D209" s="114"/>
      <c r="E209" s="117"/>
      <c r="F209" s="114"/>
      <c r="G209" s="117"/>
      <c r="H209" s="114"/>
      <c r="I209" s="117"/>
      <c r="J209" s="114"/>
      <c r="K209" s="117"/>
    </row>
    <row r="210" spans="1:11" ht="15">
      <c r="A210" s="114"/>
      <c r="B210" s="115"/>
      <c r="C210" s="116"/>
      <c r="D210" s="114"/>
      <c r="E210" s="117"/>
      <c r="F210" s="114"/>
      <c r="G210" s="117"/>
      <c r="H210" s="114"/>
      <c r="I210" s="117"/>
      <c r="J210" s="114"/>
      <c r="K210" s="117"/>
    </row>
    <row r="211" spans="1:11" ht="15">
      <c r="A211" s="114"/>
      <c r="B211" s="115"/>
      <c r="C211" s="116"/>
      <c r="D211" s="114"/>
      <c r="E211" s="117"/>
      <c r="F211" s="114"/>
      <c r="G211" s="117"/>
      <c r="H211" s="114"/>
      <c r="I211" s="117"/>
      <c r="J211" s="114"/>
      <c r="K211" s="117"/>
    </row>
    <row r="212" spans="1:11" ht="15">
      <c r="A212" s="114"/>
      <c r="B212" s="115"/>
      <c r="C212" s="116"/>
      <c r="D212" s="114"/>
      <c r="E212" s="117"/>
      <c r="F212" s="114"/>
      <c r="G212" s="117"/>
      <c r="H212" s="114"/>
      <c r="I212" s="117"/>
      <c r="J212" s="114"/>
      <c r="K212" s="117"/>
    </row>
    <row r="213" spans="1:11" ht="15">
      <c r="A213" s="114"/>
      <c r="B213" s="115"/>
      <c r="C213" s="116"/>
      <c r="D213" s="114"/>
      <c r="E213" s="117"/>
      <c r="F213" s="114"/>
      <c r="G213" s="117"/>
      <c r="H213" s="114"/>
      <c r="I213" s="117"/>
      <c r="J213" s="114"/>
      <c r="K213" s="117"/>
    </row>
    <row r="214" spans="1:11" ht="15">
      <c r="A214" s="114"/>
      <c r="B214" s="115"/>
      <c r="C214" s="116"/>
      <c r="D214" s="114"/>
      <c r="E214" s="117"/>
      <c r="F214" s="114"/>
      <c r="G214" s="117"/>
      <c r="H214" s="114"/>
      <c r="I214" s="117"/>
      <c r="J214" s="114"/>
      <c r="K214" s="117"/>
    </row>
    <row r="215" spans="1:11" ht="15">
      <c r="A215" s="114"/>
      <c r="B215" s="115"/>
      <c r="C215" s="116"/>
      <c r="D215" s="114"/>
      <c r="E215" s="117"/>
      <c r="F215" s="114"/>
      <c r="G215" s="117"/>
      <c r="H215" s="114"/>
      <c r="I215" s="117"/>
      <c r="J215" s="114"/>
      <c r="K215" s="117"/>
    </row>
    <row r="216" spans="1:11" ht="15">
      <c r="A216" s="114"/>
      <c r="B216" s="115"/>
      <c r="C216" s="116"/>
      <c r="D216" s="114"/>
      <c r="E216" s="117"/>
      <c r="F216" s="114"/>
      <c r="G216" s="117"/>
      <c r="H216" s="114"/>
      <c r="I216" s="117"/>
      <c r="J216" s="114"/>
      <c r="K216" s="117"/>
    </row>
    <row r="217" spans="1:11" ht="15">
      <c r="A217" s="114"/>
      <c r="B217" s="115"/>
      <c r="C217" s="116"/>
      <c r="D217" s="114"/>
      <c r="E217" s="117"/>
      <c r="F217" s="114"/>
      <c r="G217" s="117"/>
      <c r="H217" s="114"/>
      <c r="I217" s="117"/>
      <c r="J217" s="114"/>
      <c r="K217" s="117"/>
    </row>
    <row r="218" spans="1:11" ht="15">
      <c r="A218" s="114"/>
      <c r="B218" s="115"/>
      <c r="C218" s="116"/>
      <c r="D218" s="114"/>
      <c r="E218" s="117"/>
      <c r="F218" s="114"/>
      <c r="G218" s="117"/>
      <c r="H218" s="114"/>
      <c r="I218" s="117"/>
      <c r="J218" s="114"/>
      <c r="K218" s="117"/>
    </row>
    <row r="219" spans="1:11" ht="15">
      <c r="A219" s="114"/>
      <c r="B219" s="115"/>
      <c r="C219" s="116"/>
      <c r="D219" s="114"/>
      <c r="E219" s="117"/>
      <c r="F219" s="114"/>
      <c r="G219" s="117"/>
      <c r="H219" s="114"/>
      <c r="I219" s="117"/>
      <c r="J219" s="114"/>
      <c r="K219" s="117"/>
    </row>
    <row r="220" spans="1:11" ht="15">
      <c r="A220" s="114"/>
      <c r="B220" s="115"/>
      <c r="C220" s="116"/>
      <c r="D220" s="114"/>
      <c r="E220" s="117"/>
      <c r="F220" s="114"/>
      <c r="G220" s="117"/>
      <c r="H220" s="114"/>
      <c r="I220" s="117"/>
      <c r="J220" s="114"/>
      <c r="K220" s="117"/>
    </row>
    <row r="221" spans="1:11" ht="15">
      <c r="A221" s="114"/>
      <c r="B221" s="115"/>
      <c r="C221" s="116"/>
      <c r="D221" s="114"/>
      <c r="E221" s="117"/>
      <c r="F221" s="114"/>
      <c r="G221" s="117"/>
      <c r="H221" s="114"/>
      <c r="I221" s="117"/>
      <c r="J221" s="114"/>
      <c r="K221" s="117"/>
    </row>
    <row r="222" spans="1:11" ht="15">
      <c r="A222" s="114"/>
      <c r="B222" s="115"/>
      <c r="C222" s="116"/>
      <c r="D222" s="114"/>
      <c r="E222" s="117"/>
      <c r="F222" s="114"/>
      <c r="G222" s="117"/>
      <c r="H222" s="114"/>
      <c r="I222" s="117"/>
      <c r="J222" s="114"/>
      <c r="K222" s="117"/>
    </row>
    <row r="223" spans="1:11" ht="15">
      <c r="A223" s="114"/>
      <c r="B223" s="115"/>
      <c r="C223" s="116"/>
      <c r="D223" s="114"/>
      <c r="E223" s="117"/>
      <c r="F223" s="114"/>
      <c r="G223" s="117"/>
      <c r="H223" s="114"/>
      <c r="I223" s="117"/>
      <c r="J223" s="114"/>
      <c r="K223" s="117"/>
    </row>
    <row r="224" spans="1:11" ht="15">
      <c r="A224" s="114"/>
      <c r="B224" s="115"/>
      <c r="C224" s="116"/>
      <c r="D224" s="114"/>
      <c r="E224" s="117"/>
      <c r="F224" s="114"/>
      <c r="G224" s="117"/>
      <c r="H224" s="114"/>
      <c r="I224" s="117"/>
      <c r="J224" s="114"/>
      <c r="K224" s="117"/>
    </row>
    <row r="225" spans="1:11" ht="15">
      <c r="A225" s="114"/>
      <c r="B225" s="115"/>
      <c r="C225" s="116"/>
      <c r="D225" s="114"/>
      <c r="E225" s="117"/>
      <c r="F225" s="114"/>
      <c r="G225" s="117"/>
      <c r="H225" s="114"/>
      <c r="I225" s="117"/>
      <c r="J225" s="114"/>
      <c r="K225" s="117"/>
    </row>
    <row r="226" spans="1:11" ht="15">
      <c r="A226" s="114"/>
      <c r="B226" s="115"/>
      <c r="C226" s="116"/>
      <c r="D226" s="114"/>
      <c r="E226" s="117"/>
      <c r="F226" s="114"/>
      <c r="G226" s="117"/>
      <c r="H226" s="114"/>
      <c r="I226" s="117"/>
      <c r="J226" s="114"/>
      <c r="K226" s="117"/>
    </row>
    <row r="227" spans="1:11" ht="15">
      <c r="A227" s="114"/>
      <c r="B227" s="115"/>
      <c r="C227" s="116"/>
      <c r="D227" s="114"/>
      <c r="E227" s="117"/>
      <c r="F227" s="114"/>
      <c r="G227" s="117"/>
      <c r="H227" s="114"/>
      <c r="I227" s="117"/>
      <c r="J227" s="114"/>
      <c r="K227" s="117"/>
    </row>
    <row r="228" spans="1:11" ht="15">
      <c r="A228" s="114"/>
      <c r="B228" s="115"/>
      <c r="C228" s="116"/>
      <c r="D228" s="114"/>
      <c r="E228" s="117"/>
      <c r="F228" s="114"/>
      <c r="G228" s="117"/>
      <c r="H228" s="114"/>
      <c r="I228" s="117"/>
      <c r="J228" s="114"/>
      <c r="K228" s="117"/>
    </row>
    <row r="229" spans="1:11" ht="15">
      <c r="A229" s="114"/>
      <c r="B229" s="115"/>
      <c r="C229" s="116"/>
      <c r="D229" s="114"/>
      <c r="E229" s="117"/>
      <c r="F229" s="114"/>
      <c r="G229" s="117"/>
      <c r="H229" s="114"/>
      <c r="I229" s="117"/>
      <c r="J229" s="114"/>
      <c r="K229" s="117"/>
    </row>
    <row r="230" spans="1:11" ht="15">
      <c r="A230" s="114"/>
      <c r="B230" s="115"/>
      <c r="C230" s="116"/>
      <c r="D230" s="114"/>
      <c r="E230" s="117"/>
      <c r="F230" s="114"/>
      <c r="G230" s="117"/>
      <c r="H230" s="114"/>
      <c r="I230" s="117"/>
      <c r="J230" s="114"/>
      <c r="K230" s="117"/>
    </row>
  </sheetData>
  <sheetProtection/>
  <mergeCells count="10">
    <mergeCell ref="A200:B200"/>
    <mergeCell ref="K200:L200"/>
    <mergeCell ref="K1:L1"/>
    <mergeCell ref="H2:L2"/>
    <mergeCell ref="A5:L5"/>
    <mergeCell ref="A6:L6"/>
    <mergeCell ref="A8:A9"/>
    <mergeCell ref="B8:B9"/>
    <mergeCell ref="C8:C9"/>
    <mergeCell ref="D8:L8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87"/>
  <sheetViews>
    <sheetView showGridLines="0" zoomScale="90" zoomScaleNormal="90" zoomScalePageLayoutView="0" workbookViewId="0" topLeftCell="A1">
      <selection activeCell="C4" sqref="C4:E4"/>
    </sheetView>
  </sheetViews>
  <sheetFormatPr defaultColWidth="9.140625" defaultRowHeight="15"/>
  <cols>
    <col min="1" max="1" width="5.7109375" style="94" customWidth="1"/>
    <col min="2" max="2" width="56.28125" style="94" customWidth="1"/>
    <col min="3" max="3" width="13.8515625" style="397" customWidth="1"/>
    <col min="4" max="4" width="15.57421875" style="397" customWidth="1"/>
    <col min="5" max="5" width="17.28125" style="397" customWidth="1"/>
    <col min="6" max="6" width="12.140625" style="94" customWidth="1"/>
    <col min="7" max="16384" width="9.140625" style="94" customWidth="1"/>
  </cols>
  <sheetData>
    <row r="1" spans="1:5" ht="15.75">
      <c r="A1" s="418"/>
      <c r="B1" s="418"/>
      <c r="C1" s="93"/>
      <c r="D1" s="93"/>
      <c r="E1" s="93"/>
    </row>
    <row r="2" spans="1:5" ht="15.75">
      <c r="A2" s="95"/>
      <c r="B2" s="95"/>
      <c r="C2" s="96"/>
      <c r="D2" s="96"/>
      <c r="E2" s="385" t="s">
        <v>492</v>
      </c>
    </row>
    <row r="3" spans="1:5" ht="15.75" customHeight="1">
      <c r="A3" s="95"/>
      <c r="B3" s="95"/>
      <c r="C3" s="419" t="s">
        <v>917</v>
      </c>
      <c r="D3" s="420"/>
      <c r="E3" s="420"/>
    </row>
    <row r="4" spans="1:5" ht="15.75" customHeight="1">
      <c r="A4" s="95"/>
      <c r="B4" s="95"/>
      <c r="C4" s="419" t="s">
        <v>919</v>
      </c>
      <c r="D4" s="420"/>
      <c r="E4" s="420"/>
    </row>
    <row r="6" spans="1:5" ht="40.5" customHeight="1">
      <c r="A6" s="421" t="s">
        <v>897</v>
      </c>
      <c r="B6" s="422"/>
      <c r="C6" s="422"/>
      <c r="D6" s="422"/>
      <c r="E6" s="422"/>
    </row>
    <row r="7" spans="1:5" ht="28.5" customHeight="1">
      <c r="A7" s="423" t="s">
        <v>493</v>
      </c>
      <c r="B7" s="424"/>
      <c r="C7" s="97" t="s">
        <v>818</v>
      </c>
      <c r="D7" s="97" t="s">
        <v>494</v>
      </c>
      <c r="E7" s="97" t="s">
        <v>916</v>
      </c>
    </row>
    <row r="8" spans="1:5" ht="15.75" customHeight="1">
      <c r="A8" s="415" t="s">
        <v>850</v>
      </c>
      <c r="B8" s="414"/>
      <c r="C8" s="414"/>
      <c r="D8" s="414"/>
      <c r="E8" s="414"/>
    </row>
    <row r="9" spans="1:5" s="98" customFormat="1" ht="14.25">
      <c r="A9" s="386"/>
      <c r="B9" s="387" t="s">
        <v>495</v>
      </c>
      <c r="C9" s="388">
        <v>27636806</v>
      </c>
      <c r="D9" s="388">
        <v>37124</v>
      </c>
      <c r="E9" s="388">
        <v>27673930</v>
      </c>
    </row>
    <row r="10" spans="1:5" ht="14.25">
      <c r="A10" s="389"/>
      <c r="B10" s="387" t="s">
        <v>496</v>
      </c>
      <c r="C10" s="388">
        <v>4036487</v>
      </c>
      <c r="D10" s="388">
        <v>-41852</v>
      </c>
      <c r="E10" s="388">
        <v>3994635</v>
      </c>
    </row>
    <row r="11" spans="1:5" ht="14.25">
      <c r="A11" s="389"/>
      <c r="B11" s="387" t="s">
        <v>497</v>
      </c>
      <c r="C11" s="388">
        <v>2319248</v>
      </c>
      <c r="D11" s="388">
        <v>142548</v>
      </c>
      <c r="E11" s="388">
        <v>2461796</v>
      </c>
    </row>
    <row r="12" spans="1:5" ht="14.25">
      <c r="A12" s="389"/>
      <c r="B12" s="387" t="s">
        <v>498</v>
      </c>
      <c r="C12" s="388">
        <v>43000</v>
      </c>
      <c r="D12" s="388">
        <v>0</v>
      </c>
      <c r="E12" s="388">
        <v>43000</v>
      </c>
    </row>
    <row r="13" spans="1:5" ht="14.25">
      <c r="A13" s="389"/>
      <c r="B13" s="387" t="s">
        <v>499</v>
      </c>
      <c r="C13" s="388">
        <v>20115649</v>
      </c>
      <c r="D13" s="388">
        <v>-65510</v>
      </c>
      <c r="E13" s="388">
        <v>20050139</v>
      </c>
    </row>
    <row r="14" spans="1:5" ht="14.25">
      <c r="A14" s="389"/>
      <c r="B14" s="387" t="s">
        <v>500</v>
      </c>
      <c r="C14" s="388">
        <v>33778</v>
      </c>
      <c r="D14" s="388">
        <v>700</v>
      </c>
      <c r="E14" s="388">
        <v>34478</v>
      </c>
    </row>
    <row r="15" spans="1:5" ht="28.5">
      <c r="A15" s="389"/>
      <c r="B15" s="387" t="s">
        <v>501</v>
      </c>
      <c r="C15" s="388">
        <v>1062005</v>
      </c>
      <c r="D15" s="388">
        <v>1238</v>
      </c>
      <c r="E15" s="388">
        <v>1063243</v>
      </c>
    </row>
    <row r="16" spans="1:5" ht="14.25">
      <c r="A16" s="389"/>
      <c r="B16" s="387" t="s">
        <v>895</v>
      </c>
      <c r="C16" s="388">
        <v>26639</v>
      </c>
      <c r="D16" s="388">
        <v>0</v>
      </c>
      <c r="E16" s="388">
        <v>26639</v>
      </c>
    </row>
    <row r="17" spans="1:5" ht="12.75">
      <c r="A17" s="390"/>
      <c r="B17" s="390"/>
      <c r="C17" s="391"/>
      <c r="D17" s="391"/>
      <c r="E17" s="391"/>
    </row>
    <row r="18" spans="1:5" ht="15.75" customHeight="1">
      <c r="A18" s="413" t="s">
        <v>502</v>
      </c>
      <c r="B18" s="414"/>
      <c r="C18" s="414"/>
      <c r="D18" s="414"/>
      <c r="E18" s="414"/>
    </row>
    <row r="19" spans="1:5" s="98" customFormat="1" ht="14.25">
      <c r="A19" s="392"/>
      <c r="B19" s="393" t="s">
        <v>495</v>
      </c>
      <c r="C19" s="394">
        <v>4729745</v>
      </c>
      <c r="D19" s="394">
        <v>0</v>
      </c>
      <c r="E19" s="394">
        <v>4729745</v>
      </c>
    </row>
    <row r="20" spans="1:5" ht="15">
      <c r="A20" s="390"/>
      <c r="B20" s="395" t="s">
        <v>496</v>
      </c>
      <c r="C20" s="396">
        <v>3808902</v>
      </c>
      <c r="D20" s="396">
        <v>-40785</v>
      </c>
      <c r="E20" s="396">
        <v>3768117</v>
      </c>
    </row>
    <row r="21" spans="1:5" ht="15">
      <c r="A21" s="390"/>
      <c r="B21" s="395" t="s">
        <v>497</v>
      </c>
      <c r="C21" s="396">
        <v>692265</v>
      </c>
      <c r="D21" s="396">
        <v>111369</v>
      </c>
      <c r="E21" s="396">
        <v>803634</v>
      </c>
    </row>
    <row r="22" spans="1:5" ht="15">
      <c r="A22" s="390"/>
      <c r="B22" s="395" t="s">
        <v>499</v>
      </c>
      <c r="C22" s="396">
        <v>211000</v>
      </c>
      <c r="D22" s="396">
        <v>-70584</v>
      </c>
      <c r="E22" s="396">
        <v>140416</v>
      </c>
    </row>
    <row r="23" spans="1:5" ht="15">
      <c r="A23" s="390"/>
      <c r="B23" s="395" t="s">
        <v>500</v>
      </c>
      <c r="C23" s="396">
        <v>17578</v>
      </c>
      <c r="D23" s="396">
        <v>0</v>
      </c>
      <c r="E23" s="396">
        <v>17578</v>
      </c>
    </row>
    <row r="24" spans="1:5" ht="12.75">
      <c r="A24" s="390"/>
      <c r="B24" s="390"/>
      <c r="C24" s="391"/>
      <c r="D24" s="391"/>
      <c r="E24" s="391"/>
    </row>
    <row r="25" spans="1:5" ht="15.75" customHeight="1">
      <c r="A25" s="413" t="s">
        <v>503</v>
      </c>
      <c r="B25" s="414"/>
      <c r="C25" s="414"/>
      <c r="D25" s="414"/>
      <c r="E25" s="414"/>
    </row>
    <row r="26" spans="1:5" s="98" customFormat="1" ht="14.25">
      <c r="A26" s="392"/>
      <c r="B26" s="393" t="s">
        <v>495</v>
      </c>
      <c r="C26" s="394">
        <v>25735</v>
      </c>
      <c r="D26" s="394">
        <v>0</v>
      </c>
      <c r="E26" s="394">
        <v>25735</v>
      </c>
    </row>
    <row r="27" spans="1:5" ht="30">
      <c r="A27" s="390"/>
      <c r="B27" s="395" t="s">
        <v>501</v>
      </c>
      <c r="C27" s="396">
        <v>25735</v>
      </c>
      <c r="D27" s="396">
        <v>0</v>
      </c>
      <c r="E27" s="396">
        <v>25735</v>
      </c>
    </row>
    <row r="28" spans="1:5" ht="12.75">
      <c r="A28" s="390"/>
      <c r="B28" s="390"/>
      <c r="C28" s="391"/>
      <c r="D28" s="391"/>
      <c r="E28" s="391"/>
    </row>
    <row r="29" spans="1:5" ht="31.5" customHeight="1">
      <c r="A29" s="413" t="s">
        <v>504</v>
      </c>
      <c r="B29" s="414"/>
      <c r="C29" s="414"/>
      <c r="D29" s="414"/>
      <c r="E29" s="414"/>
    </row>
    <row r="30" spans="1:5" s="98" customFormat="1" ht="14.25">
      <c r="A30" s="392"/>
      <c r="B30" s="393" t="s">
        <v>495</v>
      </c>
      <c r="C30" s="394">
        <v>800</v>
      </c>
      <c r="D30" s="394">
        <v>0</v>
      </c>
      <c r="E30" s="394">
        <v>800</v>
      </c>
    </row>
    <row r="31" spans="1:5" ht="15">
      <c r="A31" s="390"/>
      <c r="B31" s="395" t="s">
        <v>497</v>
      </c>
      <c r="C31" s="396">
        <v>800</v>
      </c>
      <c r="D31" s="396">
        <v>0</v>
      </c>
      <c r="E31" s="396">
        <v>800</v>
      </c>
    </row>
    <row r="32" spans="1:5" ht="12.75">
      <c r="A32" s="390"/>
      <c r="B32" s="390"/>
      <c r="C32" s="391"/>
      <c r="D32" s="391"/>
      <c r="E32" s="391"/>
    </row>
    <row r="33" spans="1:5" ht="15.75" customHeight="1">
      <c r="A33" s="413" t="s">
        <v>857</v>
      </c>
      <c r="B33" s="414"/>
      <c r="C33" s="414"/>
      <c r="D33" s="414"/>
      <c r="E33" s="414"/>
    </row>
    <row r="34" spans="1:5" s="98" customFormat="1" ht="14.25">
      <c r="A34" s="392"/>
      <c r="B34" s="393" t="s">
        <v>495</v>
      </c>
      <c r="C34" s="394">
        <v>1064592</v>
      </c>
      <c r="D34" s="394">
        <v>0</v>
      </c>
      <c r="E34" s="394">
        <v>1064592</v>
      </c>
    </row>
    <row r="35" spans="1:5" ht="15">
      <c r="A35" s="390"/>
      <c r="B35" s="395" t="s">
        <v>499</v>
      </c>
      <c r="C35" s="396">
        <v>1064592</v>
      </c>
      <c r="D35" s="396">
        <v>0</v>
      </c>
      <c r="E35" s="396">
        <v>1064592</v>
      </c>
    </row>
    <row r="36" spans="1:5" ht="12.75">
      <c r="A36" s="390"/>
      <c r="B36" s="390"/>
      <c r="C36" s="391"/>
      <c r="D36" s="391"/>
      <c r="E36" s="391"/>
    </row>
    <row r="37" spans="1:5" ht="15.75" customHeight="1">
      <c r="A37" s="413" t="s">
        <v>505</v>
      </c>
      <c r="B37" s="414"/>
      <c r="C37" s="414"/>
      <c r="D37" s="414"/>
      <c r="E37" s="414"/>
    </row>
    <row r="38" spans="1:5" s="98" customFormat="1" ht="14.25">
      <c r="A38" s="392"/>
      <c r="B38" s="393" t="s">
        <v>495</v>
      </c>
      <c r="C38" s="394">
        <v>91580</v>
      </c>
      <c r="D38" s="394">
        <v>0</v>
      </c>
      <c r="E38" s="394">
        <v>91580</v>
      </c>
    </row>
    <row r="39" spans="1:5" ht="15">
      <c r="A39" s="390"/>
      <c r="B39" s="395" t="s">
        <v>497</v>
      </c>
      <c r="C39" s="396">
        <v>91580</v>
      </c>
      <c r="D39" s="396">
        <v>0</v>
      </c>
      <c r="E39" s="396">
        <v>91580</v>
      </c>
    </row>
    <row r="40" spans="1:5" ht="12.75">
      <c r="A40" s="390"/>
      <c r="B40" s="390"/>
      <c r="C40" s="391"/>
      <c r="D40" s="391"/>
      <c r="E40" s="391"/>
    </row>
    <row r="41" spans="1:5" ht="15.75" customHeight="1">
      <c r="A41" s="413" t="s">
        <v>506</v>
      </c>
      <c r="B41" s="414"/>
      <c r="C41" s="414"/>
      <c r="D41" s="414"/>
      <c r="E41" s="414"/>
    </row>
    <row r="42" spans="1:5" s="98" customFormat="1" ht="14.25">
      <c r="A42" s="392"/>
      <c r="B42" s="393" t="s">
        <v>495</v>
      </c>
      <c r="C42" s="394">
        <v>642364</v>
      </c>
      <c r="D42" s="394">
        <v>45594</v>
      </c>
      <c r="E42" s="394">
        <v>687958</v>
      </c>
    </row>
    <row r="43" spans="1:5" ht="15">
      <c r="A43" s="390"/>
      <c r="B43" s="395" t="s">
        <v>497</v>
      </c>
      <c r="C43" s="396">
        <v>416304</v>
      </c>
      <c r="D43" s="396">
        <v>22232</v>
      </c>
      <c r="E43" s="396">
        <v>438536</v>
      </c>
    </row>
    <row r="44" spans="1:5" ht="15">
      <c r="A44" s="390"/>
      <c r="B44" s="395" t="s">
        <v>499</v>
      </c>
      <c r="C44" s="396">
        <v>226060</v>
      </c>
      <c r="D44" s="396">
        <v>23362</v>
      </c>
      <c r="E44" s="396">
        <v>249422</v>
      </c>
    </row>
    <row r="45" spans="1:5" ht="12.75">
      <c r="A45" s="390"/>
      <c r="B45" s="390"/>
      <c r="C45" s="391"/>
      <c r="D45" s="391"/>
      <c r="E45" s="391"/>
    </row>
    <row r="46" spans="1:5" ht="31.5" customHeight="1">
      <c r="A46" s="413" t="s">
        <v>507</v>
      </c>
      <c r="B46" s="414"/>
      <c r="C46" s="414"/>
      <c r="D46" s="414"/>
      <c r="E46" s="414"/>
    </row>
    <row r="47" spans="1:5" s="98" customFormat="1" ht="14.25">
      <c r="A47" s="392"/>
      <c r="B47" s="393" t="s">
        <v>495</v>
      </c>
      <c r="C47" s="394">
        <v>172166</v>
      </c>
      <c r="D47" s="394">
        <v>0</v>
      </c>
      <c r="E47" s="394">
        <v>172166</v>
      </c>
    </row>
    <row r="48" spans="1:5" ht="15">
      <c r="A48" s="390"/>
      <c r="B48" s="395" t="s">
        <v>497</v>
      </c>
      <c r="C48" s="396">
        <v>9862</v>
      </c>
      <c r="D48" s="396">
        <v>0</v>
      </c>
      <c r="E48" s="396">
        <v>9862</v>
      </c>
    </row>
    <row r="49" spans="1:5" ht="30">
      <c r="A49" s="390"/>
      <c r="B49" s="395" t="s">
        <v>501</v>
      </c>
      <c r="C49" s="396">
        <v>162304</v>
      </c>
      <c r="D49" s="396">
        <v>0</v>
      </c>
      <c r="E49" s="396">
        <v>162304</v>
      </c>
    </row>
    <row r="50" spans="1:5" ht="12.75">
      <c r="A50" s="390"/>
      <c r="B50" s="390"/>
      <c r="C50" s="391"/>
      <c r="D50" s="391"/>
      <c r="E50" s="391"/>
    </row>
    <row r="51" spans="1:5" ht="15.75" customHeight="1">
      <c r="A51" s="413" t="s">
        <v>508</v>
      </c>
      <c r="B51" s="414"/>
      <c r="C51" s="414"/>
      <c r="D51" s="414"/>
      <c r="E51" s="414"/>
    </row>
    <row r="52" spans="1:5" s="98" customFormat="1" ht="14.25">
      <c r="A52" s="392"/>
      <c r="B52" s="393" t="s">
        <v>495</v>
      </c>
      <c r="C52" s="394">
        <v>50000</v>
      </c>
      <c r="D52" s="394">
        <v>0</v>
      </c>
      <c r="E52" s="394">
        <v>50000</v>
      </c>
    </row>
    <row r="53" spans="1:5" ht="15">
      <c r="A53" s="390"/>
      <c r="B53" s="395" t="s">
        <v>496</v>
      </c>
      <c r="C53" s="396">
        <v>42453</v>
      </c>
      <c r="D53" s="396">
        <v>0</v>
      </c>
      <c r="E53" s="396">
        <v>42453</v>
      </c>
    </row>
    <row r="54" spans="1:5" ht="15">
      <c r="A54" s="390"/>
      <c r="B54" s="395" t="s">
        <v>497</v>
      </c>
      <c r="C54" s="396">
        <v>7547</v>
      </c>
      <c r="D54" s="396">
        <v>0</v>
      </c>
      <c r="E54" s="396">
        <v>7547</v>
      </c>
    </row>
    <row r="55" spans="1:5" ht="12.75">
      <c r="A55" s="390"/>
      <c r="B55" s="390"/>
      <c r="C55" s="391"/>
      <c r="D55" s="391"/>
      <c r="E55" s="391"/>
    </row>
    <row r="56" spans="1:5" ht="15.75" customHeight="1">
      <c r="A56" s="413" t="s">
        <v>509</v>
      </c>
      <c r="B56" s="414"/>
      <c r="C56" s="414"/>
      <c r="D56" s="414"/>
      <c r="E56" s="414"/>
    </row>
    <row r="57" spans="1:5" s="98" customFormat="1" ht="14.25">
      <c r="A57" s="392"/>
      <c r="B57" s="393" t="s">
        <v>495</v>
      </c>
      <c r="C57" s="394">
        <v>277059</v>
      </c>
      <c r="D57" s="394">
        <v>0</v>
      </c>
      <c r="E57" s="394">
        <v>277059</v>
      </c>
    </row>
    <row r="58" spans="1:5" ht="15">
      <c r="A58" s="390"/>
      <c r="B58" s="395" t="s">
        <v>497</v>
      </c>
      <c r="C58" s="396">
        <v>104</v>
      </c>
      <c r="D58" s="396">
        <v>0</v>
      </c>
      <c r="E58" s="396">
        <v>104</v>
      </c>
    </row>
    <row r="59" spans="1:5" ht="15">
      <c r="A59" s="390"/>
      <c r="B59" s="395" t="s">
        <v>499</v>
      </c>
      <c r="C59" s="396">
        <v>276955</v>
      </c>
      <c r="D59" s="396">
        <v>0</v>
      </c>
      <c r="E59" s="396">
        <v>276955</v>
      </c>
    </row>
    <row r="60" spans="1:5" ht="12.75">
      <c r="A60" s="390"/>
      <c r="B60" s="390"/>
      <c r="C60" s="391"/>
      <c r="D60" s="391"/>
      <c r="E60" s="391"/>
    </row>
    <row r="61" spans="1:5" ht="31.5" customHeight="1">
      <c r="A61" s="413" t="s">
        <v>805</v>
      </c>
      <c r="B61" s="414"/>
      <c r="C61" s="414"/>
      <c r="D61" s="414"/>
      <c r="E61" s="414"/>
    </row>
    <row r="62" spans="1:5" s="98" customFormat="1" ht="14.25">
      <c r="A62" s="392"/>
      <c r="B62" s="393" t="s">
        <v>495</v>
      </c>
      <c r="C62" s="394">
        <v>411183</v>
      </c>
      <c r="D62" s="394">
        <v>0</v>
      </c>
      <c r="E62" s="394">
        <v>411183</v>
      </c>
    </row>
    <row r="63" spans="1:5" ht="15">
      <c r="A63" s="390"/>
      <c r="B63" s="395" t="s">
        <v>499</v>
      </c>
      <c r="C63" s="396">
        <v>411183</v>
      </c>
      <c r="D63" s="396">
        <v>0</v>
      </c>
      <c r="E63" s="396">
        <v>411183</v>
      </c>
    </row>
    <row r="64" spans="1:5" ht="12.75">
      <c r="A64" s="390"/>
      <c r="B64" s="390"/>
      <c r="C64" s="391"/>
      <c r="D64" s="391"/>
      <c r="E64" s="391"/>
    </row>
    <row r="65" spans="1:5" ht="31.5" customHeight="1">
      <c r="A65" s="413" t="s">
        <v>510</v>
      </c>
      <c r="B65" s="414"/>
      <c r="C65" s="414"/>
      <c r="D65" s="414"/>
      <c r="E65" s="414"/>
    </row>
    <row r="66" spans="1:5" s="98" customFormat="1" ht="14.25">
      <c r="A66" s="392"/>
      <c r="B66" s="393" t="s">
        <v>495</v>
      </c>
      <c r="C66" s="394">
        <v>2291459</v>
      </c>
      <c r="D66" s="394">
        <v>0</v>
      </c>
      <c r="E66" s="394">
        <v>2291459</v>
      </c>
    </row>
    <row r="67" spans="1:5" ht="15">
      <c r="A67" s="390"/>
      <c r="B67" s="395" t="s">
        <v>499</v>
      </c>
      <c r="C67" s="396">
        <v>2291459</v>
      </c>
      <c r="D67" s="396">
        <v>0</v>
      </c>
      <c r="E67" s="396">
        <v>2291459</v>
      </c>
    </row>
    <row r="68" spans="1:5" ht="12.75">
      <c r="A68" s="390"/>
      <c r="B68" s="390"/>
      <c r="C68" s="391"/>
      <c r="D68" s="391"/>
      <c r="E68" s="391"/>
    </row>
    <row r="69" spans="1:5" ht="31.5" customHeight="1">
      <c r="A69" s="413" t="s">
        <v>511</v>
      </c>
      <c r="B69" s="414"/>
      <c r="C69" s="414"/>
      <c r="D69" s="414"/>
      <c r="E69" s="414"/>
    </row>
    <row r="70" spans="1:5" s="98" customFormat="1" ht="14.25">
      <c r="A70" s="392"/>
      <c r="B70" s="393" t="s">
        <v>495</v>
      </c>
      <c r="C70" s="394">
        <v>666273</v>
      </c>
      <c r="D70" s="394">
        <v>0</v>
      </c>
      <c r="E70" s="394">
        <v>666273</v>
      </c>
    </row>
    <row r="71" spans="1:5" ht="15">
      <c r="A71" s="390"/>
      <c r="B71" s="395" t="s">
        <v>499</v>
      </c>
      <c r="C71" s="396">
        <v>639634</v>
      </c>
      <c r="D71" s="396">
        <v>0</v>
      </c>
      <c r="E71" s="396">
        <v>639634</v>
      </c>
    </row>
    <row r="72" spans="1:5" ht="15">
      <c r="A72" s="390"/>
      <c r="B72" s="395" t="s">
        <v>895</v>
      </c>
      <c r="C72" s="396">
        <v>26639</v>
      </c>
      <c r="D72" s="396">
        <v>0</v>
      </c>
      <c r="E72" s="396">
        <v>26639</v>
      </c>
    </row>
    <row r="73" spans="1:5" ht="12.75">
      <c r="A73" s="390"/>
      <c r="B73" s="390"/>
      <c r="C73" s="391"/>
      <c r="D73" s="391"/>
      <c r="E73" s="391"/>
    </row>
    <row r="74" spans="1:5" ht="31.5" customHeight="1">
      <c r="A74" s="413" t="s">
        <v>512</v>
      </c>
      <c r="B74" s="414"/>
      <c r="C74" s="414"/>
      <c r="D74" s="414"/>
      <c r="E74" s="414"/>
    </row>
    <row r="75" spans="1:5" s="98" customFormat="1" ht="14.25">
      <c r="A75" s="392"/>
      <c r="B75" s="393" t="s">
        <v>495</v>
      </c>
      <c r="C75" s="394">
        <v>689246</v>
      </c>
      <c r="D75" s="394">
        <v>0</v>
      </c>
      <c r="E75" s="394">
        <v>689246</v>
      </c>
    </row>
    <row r="76" spans="1:5" ht="15">
      <c r="A76" s="390"/>
      <c r="B76" s="395" t="s">
        <v>497</v>
      </c>
      <c r="C76" s="396">
        <v>30696</v>
      </c>
      <c r="D76" s="396">
        <v>0</v>
      </c>
      <c r="E76" s="396">
        <v>30696</v>
      </c>
    </row>
    <row r="77" spans="1:5" ht="15">
      <c r="A77" s="390"/>
      <c r="B77" s="395" t="s">
        <v>499</v>
      </c>
      <c r="C77" s="396">
        <v>500679</v>
      </c>
      <c r="D77" s="396">
        <v>0</v>
      </c>
      <c r="E77" s="396">
        <v>500679</v>
      </c>
    </row>
    <row r="78" spans="1:5" ht="15">
      <c r="A78" s="390"/>
      <c r="B78" s="395" t="s">
        <v>500</v>
      </c>
      <c r="C78" s="396">
        <v>3000</v>
      </c>
      <c r="D78" s="396">
        <v>0</v>
      </c>
      <c r="E78" s="396">
        <v>3000</v>
      </c>
    </row>
    <row r="79" spans="1:5" ht="30">
      <c r="A79" s="390"/>
      <c r="B79" s="395" t="s">
        <v>501</v>
      </c>
      <c r="C79" s="396">
        <v>154871</v>
      </c>
      <c r="D79" s="396">
        <v>0</v>
      </c>
      <c r="E79" s="396">
        <v>154871</v>
      </c>
    </row>
    <row r="80" spans="1:5" ht="12.75">
      <c r="A80" s="390"/>
      <c r="B80" s="390"/>
      <c r="C80" s="391"/>
      <c r="D80" s="391"/>
      <c r="E80" s="391"/>
    </row>
    <row r="81" spans="1:5" ht="31.5" customHeight="1">
      <c r="A81" s="413" t="s">
        <v>806</v>
      </c>
      <c r="B81" s="414"/>
      <c r="C81" s="414"/>
      <c r="D81" s="414"/>
      <c r="E81" s="414"/>
    </row>
    <row r="82" spans="1:5" s="98" customFormat="1" ht="14.25">
      <c r="A82" s="392"/>
      <c r="B82" s="393" t="s">
        <v>495</v>
      </c>
      <c r="C82" s="394">
        <v>198865</v>
      </c>
      <c r="D82" s="394">
        <v>0</v>
      </c>
      <c r="E82" s="394">
        <v>198865</v>
      </c>
    </row>
    <row r="83" spans="1:5" ht="15">
      <c r="A83" s="390"/>
      <c r="B83" s="395" t="s">
        <v>497</v>
      </c>
      <c r="C83" s="396">
        <v>2049</v>
      </c>
      <c r="D83" s="396">
        <v>0</v>
      </c>
      <c r="E83" s="396">
        <v>2049</v>
      </c>
    </row>
    <row r="84" spans="1:5" ht="15">
      <c r="A84" s="390"/>
      <c r="B84" s="395" t="s">
        <v>499</v>
      </c>
      <c r="C84" s="396">
        <v>15600</v>
      </c>
      <c r="D84" s="396">
        <v>0</v>
      </c>
      <c r="E84" s="396">
        <v>15600</v>
      </c>
    </row>
    <row r="85" spans="1:5" ht="30">
      <c r="A85" s="390"/>
      <c r="B85" s="395" t="s">
        <v>501</v>
      </c>
      <c r="C85" s="396">
        <v>181216</v>
      </c>
      <c r="D85" s="396">
        <v>0</v>
      </c>
      <c r="E85" s="396">
        <v>181216</v>
      </c>
    </row>
    <row r="86" spans="1:5" ht="12.75">
      <c r="A86" s="390"/>
      <c r="B86" s="390"/>
      <c r="C86" s="391"/>
      <c r="D86" s="391"/>
      <c r="E86" s="391"/>
    </row>
    <row r="87" spans="1:5" ht="15.75" customHeight="1">
      <c r="A87" s="413" t="s">
        <v>807</v>
      </c>
      <c r="B87" s="414"/>
      <c r="C87" s="414"/>
      <c r="D87" s="414"/>
      <c r="E87" s="414"/>
    </row>
    <row r="88" spans="1:5" s="98" customFormat="1" ht="14.25">
      <c r="A88" s="392"/>
      <c r="B88" s="393" t="s">
        <v>495</v>
      </c>
      <c r="C88" s="394">
        <v>1567559</v>
      </c>
      <c r="D88" s="394">
        <v>0</v>
      </c>
      <c r="E88" s="394">
        <v>1567559</v>
      </c>
    </row>
    <row r="89" spans="1:5" ht="15">
      <c r="A89" s="390"/>
      <c r="B89" s="395" t="s">
        <v>499</v>
      </c>
      <c r="C89" s="396">
        <v>1567559</v>
      </c>
      <c r="D89" s="396">
        <v>0</v>
      </c>
      <c r="E89" s="396">
        <v>1567559</v>
      </c>
    </row>
    <row r="90" spans="1:5" ht="12.75">
      <c r="A90" s="390"/>
      <c r="B90" s="390"/>
      <c r="C90" s="391"/>
      <c r="D90" s="391"/>
      <c r="E90" s="391"/>
    </row>
    <row r="91" spans="1:5" ht="15.75" customHeight="1">
      <c r="A91" s="413" t="s">
        <v>808</v>
      </c>
      <c r="B91" s="414"/>
      <c r="C91" s="414"/>
      <c r="D91" s="414"/>
      <c r="E91" s="414"/>
    </row>
    <row r="92" spans="1:5" s="98" customFormat="1" ht="14.25">
      <c r="A92" s="392"/>
      <c r="B92" s="393" t="s">
        <v>495</v>
      </c>
      <c r="C92" s="394">
        <v>1972305</v>
      </c>
      <c r="D92" s="394">
        <v>0</v>
      </c>
      <c r="E92" s="394">
        <v>1972305</v>
      </c>
    </row>
    <row r="93" spans="1:5" ht="15">
      <c r="A93" s="390"/>
      <c r="B93" s="395" t="s">
        <v>499</v>
      </c>
      <c r="C93" s="396">
        <v>1972305</v>
      </c>
      <c r="D93" s="396">
        <v>0</v>
      </c>
      <c r="E93" s="396">
        <v>1972305</v>
      </c>
    </row>
    <row r="94" spans="1:5" ht="12.75">
      <c r="A94" s="390"/>
      <c r="B94" s="390"/>
      <c r="C94" s="391"/>
      <c r="D94" s="391"/>
      <c r="E94" s="391"/>
    </row>
    <row r="95" spans="1:5" ht="15.75" customHeight="1">
      <c r="A95" s="413" t="s">
        <v>513</v>
      </c>
      <c r="B95" s="414"/>
      <c r="C95" s="414"/>
      <c r="D95" s="414"/>
      <c r="E95" s="414"/>
    </row>
    <row r="96" spans="1:5" s="98" customFormat="1" ht="14.25">
      <c r="A96" s="392"/>
      <c r="B96" s="393" t="s">
        <v>495</v>
      </c>
      <c r="C96" s="394">
        <v>39900</v>
      </c>
      <c r="D96" s="394">
        <v>0</v>
      </c>
      <c r="E96" s="394">
        <v>39900</v>
      </c>
    </row>
    <row r="97" spans="1:5" ht="15">
      <c r="A97" s="390"/>
      <c r="B97" s="395" t="s">
        <v>497</v>
      </c>
      <c r="C97" s="396">
        <v>39900</v>
      </c>
      <c r="D97" s="396">
        <v>0</v>
      </c>
      <c r="E97" s="396">
        <v>39900</v>
      </c>
    </row>
    <row r="98" spans="1:5" ht="12.75">
      <c r="A98" s="390"/>
      <c r="B98" s="390"/>
      <c r="C98" s="391"/>
      <c r="D98" s="391"/>
      <c r="E98" s="391"/>
    </row>
    <row r="99" spans="1:5" ht="31.5" customHeight="1">
      <c r="A99" s="413" t="s">
        <v>514</v>
      </c>
      <c r="B99" s="414"/>
      <c r="C99" s="414"/>
      <c r="D99" s="414"/>
      <c r="E99" s="414"/>
    </row>
    <row r="100" spans="1:5" s="98" customFormat="1" ht="14.25">
      <c r="A100" s="392"/>
      <c r="B100" s="393" t="s">
        <v>495</v>
      </c>
      <c r="C100" s="394">
        <v>2057000</v>
      </c>
      <c r="D100" s="394">
        <v>0</v>
      </c>
      <c r="E100" s="394">
        <v>2057000</v>
      </c>
    </row>
    <row r="101" spans="1:5" ht="15">
      <c r="A101" s="390"/>
      <c r="B101" s="395" t="s">
        <v>499</v>
      </c>
      <c r="C101" s="396">
        <v>2057000</v>
      </c>
      <c r="D101" s="396">
        <v>0</v>
      </c>
      <c r="E101" s="396">
        <v>2057000</v>
      </c>
    </row>
    <row r="102" spans="1:5" ht="12.75">
      <c r="A102" s="390"/>
      <c r="B102" s="390"/>
      <c r="C102" s="391"/>
      <c r="D102" s="391"/>
      <c r="E102" s="391"/>
    </row>
    <row r="103" spans="1:5" ht="31.5" customHeight="1">
      <c r="A103" s="413" t="s">
        <v>515</v>
      </c>
      <c r="B103" s="414"/>
      <c r="C103" s="414"/>
      <c r="D103" s="414"/>
      <c r="E103" s="414"/>
    </row>
    <row r="104" spans="1:5" s="98" customFormat="1" ht="14.25">
      <c r="A104" s="392"/>
      <c r="B104" s="393" t="s">
        <v>495</v>
      </c>
      <c r="C104" s="394">
        <v>314136</v>
      </c>
      <c r="D104" s="394">
        <v>0</v>
      </c>
      <c r="E104" s="394">
        <v>314136</v>
      </c>
    </row>
    <row r="105" spans="1:5" ht="30">
      <c r="A105" s="390"/>
      <c r="B105" s="395" t="s">
        <v>501</v>
      </c>
      <c r="C105" s="396">
        <v>314136</v>
      </c>
      <c r="D105" s="396">
        <v>0</v>
      </c>
      <c r="E105" s="396">
        <v>314136</v>
      </c>
    </row>
    <row r="106" spans="1:5" ht="12.75">
      <c r="A106" s="390"/>
      <c r="B106" s="390"/>
      <c r="C106" s="391"/>
      <c r="D106" s="391"/>
      <c r="E106" s="391"/>
    </row>
    <row r="107" spans="1:5" ht="15.75" customHeight="1">
      <c r="A107" s="413" t="s">
        <v>809</v>
      </c>
      <c r="B107" s="414"/>
      <c r="C107" s="414"/>
      <c r="D107" s="414"/>
      <c r="E107" s="414"/>
    </row>
    <row r="108" spans="1:5" s="98" customFormat="1" ht="14.25">
      <c r="A108" s="392"/>
      <c r="B108" s="393" t="s">
        <v>495</v>
      </c>
      <c r="C108" s="394">
        <v>1346341</v>
      </c>
      <c r="D108" s="394">
        <v>0</v>
      </c>
      <c r="E108" s="394">
        <v>1346341</v>
      </c>
    </row>
    <row r="109" spans="1:5" ht="15">
      <c r="A109" s="390"/>
      <c r="B109" s="395" t="s">
        <v>499</v>
      </c>
      <c r="C109" s="396">
        <v>1346341</v>
      </c>
      <c r="D109" s="396">
        <v>0</v>
      </c>
      <c r="E109" s="396">
        <v>1346341</v>
      </c>
    </row>
    <row r="110" spans="1:5" ht="12.75">
      <c r="A110" s="390"/>
      <c r="B110" s="390"/>
      <c r="C110" s="391"/>
      <c r="D110" s="391"/>
      <c r="E110" s="391"/>
    </row>
    <row r="111" spans="1:5" ht="15.75" customHeight="1">
      <c r="A111" s="413" t="s">
        <v>516</v>
      </c>
      <c r="B111" s="414"/>
      <c r="C111" s="414"/>
      <c r="D111" s="414"/>
      <c r="E111" s="414"/>
    </row>
    <row r="112" spans="1:5" s="98" customFormat="1" ht="14.25">
      <c r="A112" s="392"/>
      <c r="B112" s="393" t="s">
        <v>495</v>
      </c>
      <c r="C112" s="394">
        <v>595238</v>
      </c>
      <c r="D112" s="394">
        <f>-8470-9818</f>
        <v>-18288</v>
      </c>
      <c r="E112" s="394">
        <v>576950</v>
      </c>
    </row>
    <row r="113" spans="1:5" ht="15">
      <c r="A113" s="390"/>
      <c r="B113" s="395" t="s">
        <v>496</v>
      </c>
      <c r="C113" s="396">
        <v>2131</v>
      </c>
      <c r="D113" s="396">
        <v>0</v>
      </c>
      <c r="E113" s="396">
        <v>2131</v>
      </c>
    </row>
    <row r="114" spans="1:5" ht="15">
      <c r="A114" s="390"/>
      <c r="B114" s="395" t="s">
        <v>497</v>
      </c>
      <c r="C114" s="396">
        <v>10000</v>
      </c>
      <c r="D114" s="396">
        <v>0</v>
      </c>
      <c r="E114" s="396">
        <v>10000</v>
      </c>
    </row>
    <row r="115" spans="1:5" ht="15">
      <c r="A115" s="390"/>
      <c r="B115" s="395" t="s">
        <v>499</v>
      </c>
      <c r="C115" s="396">
        <v>580607</v>
      </c>
      <c r="D115" s="396">
        <v>-18288</v>
      </c>
      <c r="E115" s="396">
        <v>562319</v>
      </c>
    </row>
    <row r="116" spans="1:5" ht="15">
      <c r="A116" s="390"/>
      <c r="B116" s="395" t="s">
        <v>500</v>
      </c>
      <c r="C116" s="396">
        <v>2500</v>
      </c>
      <c r="D116" s="396">
        <v>0</v>
      </c>
      <c r="E116" s="396">
        <v>2500</v>
      </c>
    </row>
    <row r="117" spans="1:5" ht="12.75">
      <c r="A117" s="390"/>
      <c r="B117" s="390"/>
      <c r="C117" s="391"/>
      <c r="D117" s="391"/>
      <c r="E117" s="391"/>
    </row>
    <row r="118" spans="1:5" ht="15.75" customHeight="1">
      <c r="A118" s="413" t="s">
        <v>517</v>
      </c>
      <c r="B118" s="414"/>
      <c r="C118" s="414"/>
      <c r="D118" s="414"/>
      <c r="E118" s="414"/>
    </row>
    <row r="119" spans="1:5" s="98" customFormat="1" ht="14.25">
      <c r="A119" s="392"/>
      <c r="B119" s="393" t="s">
        <v>495</v>
      </c>
      <c r="C119" s="394">
        <v>282382</v>
      </c>
      <c r="D119" s="394">
        <v>0</v>
      </c>
      <c r="E119" s="394">
        <v>282382</v>
      </c>
    </row>
    <row r="120" spans="1:5" ht="15">
      <c r="A120" s="390"/>
      <c r="B120" s="395" t="s">
        <v>497</v>
      </c>
      <c r="C120" s="396">
        <v>178682</v>
      </c>
      <c r="D120" s="396">
        <v>-700</v>
      </c>
      <c r="E120" s="396">
        <v>177982</v>
      </c>
    </row>
    <row r="121" spans="1:5" ht="15">
      <c r="A121" s="390"/>
      <c r="B121" s="395" t="s">
        <v>498</v>
      </c>
      <c r="C121" s="396">
        <v>25000</v>
      </c>
      <c r="D121" s="396">
        <v>0</v>
      </c>
      <c r="E121" s="396">
        <v>25000</v>
      </c>
    </row>
    <row r="122" spans="1:5" ht="15">
      <c r="A122" s="390"/>
      <c r="B122" s="395" t="s">
        <v>499</v>
      </c>
      <c r="C122" s="396">
        <v>78000</v>
      </c>
      <c r="D122" s="396">
        <v>0</v>
      </c>
      <c r="E122" s="396">
        <v>78000</v>
      </c>
    </row>
    <row r="123" spans="1:5" ht="15">
      <c r="A123" s="390"/>
      <c r="B123" s="395" t="s">
        <v>500</v>
      </c>
      <c r="C123" s="396">
        <v>700</v>
      </c>
      <c r="D123" s="396">
        <v>700</v>
      </c>
      <c r="E123" s="396">
        <v>1400</v>
      </c>
    </row>
    <row r="124" spans="1:5" ht="12.75">
      <c r="A124" s="390"/>
      <c r="B124" s="390"/>
      <c r="C124" s="391"/>
      <c r="D124" s="391"/>
      <c r="E124" s="391"/>
    </row>
    <row r="125" spans="1:5" ht="15.75" customHeight="1">
      <c r="A125" s="413" t="s">
        <v>518</v>
      </c>
      <c r="B125" s="414"/>
      <c r="C125" s="414"/>
      <c r="D125" s="414"/>
      <c r="E125" s="414"/>
    </row>
    <row r="126" spans="1:5" s="98" customFormat="1" ht="14.25">
      <c r="A126" s="392"/>
      <c r="B126" s="393" t="s">
        <v>495</v>
      </c>
      <c r="C126" s="394">
        <v>9500</v>
      </c>
      <c r="D126" s="394">
        <v>0</v>
      </c>
      <c r="E126" s="394">
        <v>9500</v>
      </c>
    </row>
    <row r="127" spans="1:5" ht="15">
      <c r="A127" s="390"/>
      <c r="B127" s="395" t="s">
        <v>496</v>
      </c>
      <c r="C127" s="396">
        <v>3500</v>
      </c>
      <c r="D127" s="396">
        <v>0</v>
      </c>
      <c r="E127" s="396">
        <v>3500</v>
      </c>
    </row>
    <row r="128" spans="1:5" ht="15">
      <c r="A128" s="390"/>
      <c r="B128" s="395" t="s">
        <v>497</v>
      </c>
      <c r="C128" s="396">
        <v>3500</v>
      </c>
      <c r="D128" s="396">
        <v>0</v>
      </c>
      <c r="E128" s="396">
        <v>3500</v>
      </c>
    </row>
    <row r="129" spans="1:5" ht="15">
      <c r="A129" s="390"/>
      <c r="B129" s="395" t="s">
        <v>499</v>
      </c>
      <c r="C129" s="396">
        <v>2500</v>
      </c>
      <c r="D129" s="396">
        <v>0</v>
      </c>
      <c r="E129" s="396">
        <v>2500</v>
      </c>
    </row>
    <row r="130" spans="1:5" ht="12.75">
      <c r="A130" s="390"/>
      <c r="B130" s="390"/>
      <c r="C130" s="391"/>
      <c r="D130" s="391"/>
      <c r="E130" s="391"/>
    </row>
    <row r="131" spans="1:5" ht="31.5" customHeight="1">
      <c r="A131" s="413" t="s">
        <v>519</v>
      </c>
      <c r="B131" s="414"/>
      <c r="C131" s="414"/>
      <c r="D131" s="414"/>
      <c r="E131" s="414"/>
    </row>
    <row r="132" spans="1:5" s="98" customFormat="1" ht="14.25">
      <c r="A132" s="392"/>
      <c r="B132" s="393" t="s">
        <v>495</v>
      </c>
      <c r="C132" s="394">
        <v>15000</v>
      </c>
      <c r="D132" s="394">
        <v>0</v>
      </c>
      <c r="E132" s="394">
        <v>15000</v>
      </c>
    </row>
    <row r="133" spans="1:5" ht="15">
      <c r="A133" s="390"/>
      <c r="B133" s="395" t="s">
        <v>498</v>
      </c>
      <c r="C133" s="396">
        <v>15000</v>
      </c>
      <c r="D133" s="396">
        <v>0</v>
      </c>
      <c r="E133" s="396">
        <v>15000</v>
      </c>
    </row>
    <row r="134" spans="1:5" ht="12.75">
      <c r="A134" s="390"/>
      <c r="B134" s="390"/>
      <c r="C134" s="391"/>
      <c r="D134" s="391"/>
      <c r="E134" s="391"/>
    </row>
    <row r="135" spans="1:5" ht="31.5" customHeight="1">
      <c r="A135" s="413" t="s">
        <v>520</v>
      </c>
      <c r="B135" s="414"/>
      <c r="C135" s="414"/>
      <c r="D135" s="414"/>
      <c r="E135" s="414"/>
    </row>
    <row r="136" spans="1:5" s="98" customFormat="1" ht="14.25">
      <c r="A136" s="392"/>
      <c r="B136" s="393" t="s">
        <v>495</v>
      </c>
      <c r="C136" s="394">
        <v>5428</v>
      </c>
      <c r="D136" s="394">
        <v>0</v>
      </c>
      <c r="E136" s="394">
        <v>5428</v>
      </c>
    </row>
    <row r="137" spans="1:5" ht="15">
      <c r="A137" s="390"/>
      <c r="B137" s="395" t="s">
        <v>496</v>
      </c>
      <c r="C137" s="396">
        <v>500</v>
      </c>
      <c r="D137" s="396">
        <v>0</v>
      </c>
      <c r="E137" s="396">
        <v>500</v>
      </c>
    </row>
    <row r="138" spans="1:5" ht="15">
      <c r="A138" s="390"/>
      <c r="B138" s="395" t="s">
        <v>497</v>
      </c>
      <c r="C138" s="396">
        <v>78</v>
      </c>
      <c r="D138" s="396">
        <v>0</v>
      </c>
      <c r="E138" s="396">
        <v>78</v>
      </c>
    </row>
    <row r="139" spans="1:5" ht="15">
      <c r="A139" s="390"/>
      <c r="B139" s="395" t="s">
        <v>498</v>
      </c>
      <c r="C139" s="396">
        <v>0</v>
      </c>
      <c r="D139" s="396">
        <v>0</v>
      </c>
      <c r="E139" s="396">
        <v>0</v>
      </c>
    </row>
    <row r="140" spans="1:5" ht="15">
      <c r="A140" s="390"/>
      <c r="B140" s="395" t="s">
        <v>499</v>
      </c>
      <c r="C140" s="396">
        <v>1341</v>
      </c>
      <c r="D140" s="396">
        <v>0</v>
      </c>
      <c r="E140" s="396">
        <v>1341</v>
      </c>
    </row>
    <row r="141" spans="1:5" ht="30">
      <c r="A141" s="390"/>
      <c r="B141" s="395" t="s">
        <v>501</v>
      </c>
      <c r="C141" s="396">
        <v>3509</v>
      </c>
      <c r="D141" s="396">
        <v>0</v>
      </c>
      <c r="E141" s="396">
        <v>3509</v>
      </c>
    </row>
    <row r="142" spans="1:5" ht="12.75">
      <c r="A142" s="390"/>
      <c r="B142" s="390"/>
      <c r="C142" s="391"/>
      <c r="D142" s="391"/>
      <c r="E142" s="391"/>
    </row>
    <row r="143" spans="1:5" ht="31.5" customHeight="1">
      <c r="A143" s="413" t="s">
        <v>521</v>
      </c>
      <c r="B143" s="414"/>
      <c r="C143" s="414"/>
      <c r="D143" s="414"/>
      <c r="E143" s="414"/>
    </row>
    <row r="144" spans="1:5" s="98" customFormat="1" ht="14.25">
      <c r="A144" s="392"/>
      <c r="B144" s="393" t="s">
        <v>495</v>
      </c>
      <c r="C144" s="394">
        <v>127607</v>
      </c>
      <c r="D144" s="394">
        <v>9818</v>
      </c>
      <c r="E144" s="394">
        <v>137425</v>
      </c>
    </row>
    <row r="145" spans="1:5" ht="15">
      <c r="A145" s="390"/>
      <c r="B145" s="395" t="s">
        <v>496</v>
      </c>
      <c r="C145" s="396">
        <v>14420</v>
      </c>
      <c r="D145" s="396">
        <v>0</v>
      </c>
      <c r="E145" s="396">
        <v>14420</v>
      </c>
    </row>
    <row r="146" spans="1:5" ht="15">
      <c r="A146" s="390"/>
      <c r="B146" s="395" t="s">
        <v>497</v>
      </c>
      <c r="C146" s="396">
        <v>113187</v>
      </c>
      <c r="D146" s="396">
        <v>9818</v>
      </c>
      <c r="E146" s="396">
        <v>123005</v>
      </c>
    </row>
    <row r="147" spans="1:5" ht="12.75">
      <c r="A147" s="390"/>
      <c r="B147" s="390"/>
      <c r="C147" s="391"/>
      <c r="D147" s="391"/>
      <c r="E147" s="391"/>
    </row>
    <row r="148" spans="1:5" ht="15.75" customHeight="1">
      <c r="A148" s="413" t="s">
        <v>522</v>
      </c>
      <c r="B148" s="414"/>
      <c r="C148" s="414"/>
      <c r="D148" s="414"/>
      <c r="E148" s="414"/>
    </row>
    <row r="149" spans="1:5" s="98" customFormat="1" ht="14.25">
      <c r="A149" s="392"/>
      <c r="B149" s="393" t="s">
        <v>495</v>
      </c>
      <c r="C149" s="394">
        <v>505321</v>
      </c>
      <c r="D149" s="394">
        <v>0</v>
      </c>
      <c r="E149" s="394">
        <v>505321</v>
      </c>
    </row>
    <row r="150" spans="1:5" ht="15">
      <c r="A150" s="390"/>
      <c r="B150" s="395" t="s">
        <v>496</v>
      </c>
      <c r="C150" s="396">
        <v>32809</v>
      </c>
      <c r="D150" s="396">
        <v>0</v>
      </c>
      <c r="E150" s="396">
        <v>32809</v>
      </c>
    </row>
    <row r="151" spans="1:5" ht="15">
      <c r="A151" s="390"/>
      <c r="B151" s="395" t="s">
        <v>497</v>
      </c>
      <c r="C151" s="396">
        <v>420393</v>
      </c>
      <c r="D151" s="396">
        <v>0</v>
      </c>
      <c r="E151" s="396">
        <v>420393</v>
      </c>
    </row>
    <row r="152" spans="1:5" ht="15">
      <c r="A152" s="390"/>
      <c r="B152" s="395" t="s">
        <v>498</v>
      </c>
      <c r="C152" s="396">
        <v>3000</v>
      </c>
      <c r="D152" s="396">
        <v>0</v>
      </c>
      <c r="E152" s="396">
        <v>3000</v>
      </c>
    </row>
    <row r="153" spans="1:5" ht="15">
      <c r="A153" s="390"/>
      <c r="B153" s="395" t="s">
        <v>499</v>
      </c>
      <c r="C153" s="396">
        <v>39119</v>
      </c>
      <c r="D153" s="396">
        <v>0</v>
      </c>
      <c r="E153" s="396">
        <v>39119</v>
      </c>
    </row>
    <row r="154" spans="1:5" ht="15">
      <c r="A154" s="390"/>
      <c r="B154" s="395" t="s">
        <v>500</v>
      </c>
      <c r="C154" s="396">
        <v>10000</v>
      </c>
      <c r="D154" s="396">
        <v>0</v>
      </c>
      <c r="E154" s="396">
        <v>10000</v>
      </c>
    </row>
    <row r="155" spans="1:5" ht="12.75">
      <c r="A155" s="390"/>
      <c r="B155" s="390"/>
      <c r="C155" s="391"/>
      <c r="D155" s="391"/>
      <c r="E155" s="391"/>
    </row>
    <row r="156" spans="1:5" ht="15.75" customHeight="1">
      <c r="A156" s="413" t="s">
        <v>523</v>
      </c>
      <c r="B156" s="414"/>
      <c r="C156" s="414"/>
      <c r="D156" s="414"/>
      <c r="E156" s="414"/>
    </row>
    <row r="157" spans="1:5" s="98" customFormat="1" ht="14.25">
      <c r="A157" s="392"/>
      <c r="B157" s="393" t="s">
        <v>495</v>
      </c>
      <c r="C157" s="394">
        <v>1266648</v>
      </c>
      <c r="D157" s="394">
        <v>0</v>
      </c>
      <c r="E157" s="394">
        <v>1266648</v>
      </c>
    </row>
    <row r="158" spans="1:5" ht="15">
      <c r="A158" s="390"/>
      <c r="B158" s="395" t="s">
        <v>499</v>
      </c>
      <c r="C158" s="396">
        <v>1266648</v>
      </c>
      <c r="D158" s="396">
        <v>0</v>
      </c>
      <c r="E158" s="396">
        <v>1266648</v>
      </c>
    </row>
    <row r="159" spans="1:5" ht="12.75">
      <c r="A159" s="390"/>
      <c r="B159" s="390"/>
      <c r="C159" s="391"/>
      <c r="D159" s="391"/>
      <c r="E159" s="391"/>
    </row>
    <row r="160" spans="1:5" ht="31.5" customHeight="1">
      <c r="A160" s="413" t="s">
        <v>524</v>
      </c>
      <c r="B160" s="414"/>
      <c r="C160" s="414"/>
      <c r="D160" s="414"/>
      <c r="E160" s="414"/>
    </row>
    <row r="161" spans="1:5" s="98" customFormat="1" ht="14.25">
      <c r="A161" s="392"/>
      <c r="B161" s="393" t="s">
        <v>495</v>
      </c>
      <c r="C161" s="394">
        <v>1882755</v>
      </c>
      <c r="D161" s="394">
        <v>0</v>
      </c>
      <c r="E161" s="394">
        <v>1882755</v>
      </c>
    </row>
    <row r="162" spans="1:5" ht="15">
      <c r="A162" s="390"/>
      <c r="B162" s="395" t="s">
        <v>499</v>
      </c>
      <c r="C162" s="396">
        <v>1882755</v>
      </c>
      <c r="D162" s="396">
        <v>0</v>
      </c>
      <c r="E162" s="396">
        <v>1882755</v>
      </c>
    </row>
    <row r="163" spans="1:5" ht="12.75">
      <c r="A163" s="390"/>
      <c r="B163" s="390"/>
      <c r="C163" s="391"/>
      <c r="D163" s="391"/>
      <c r="E163" s="391"/>
    </row>
    <row r="164" spans="1:5" ht="31.5" customHeight="1">
      <c r="A164" s="413" t="s">
        <v>525</v>
      </c>
      <c r="B164" s="414"/>
      <c r="C164" s="414"/>
      <c r="D164" s="414"/>
      <c r="E164" s="414"/>
    </row>
    <row r="165" spans="1:5" s="98" customFormat="1" ht="14.25">
      <c r="A165" s="392"/>
      <c r="B165" s="393" t="s">
        <v>495</v>
      </c>
      <c r="C165" s="394">
        <v>220534</v>
      </c>
      <c r="D165" s="394">
        <v>0</v>
      </c>
      <c r="E165" s="394">
        <v>220534</v>
      </c>
    </row>
    <row r="166" spans="1:5" ht="15">
      <c r="A166" s="390"/>
      <c r="B166" s="395" t="s">
        <v>497</v>
      </c>
      <c r="C166" s="396">
        <v>3300</v>
      </c>
      <c r="D166" s="396">
        <v>0</v>
      </c>
      <c r="E166" s="396">
        <v>3300</v>
      </c>
    </row>
    <row r="167" spans="1:5" ht="30">
      <c r="A167" s="390"/>
      <c r="B167" s="395" t="s">
        <v>501</v>
      </c>
      <c r="C167" s="396">
        <v>217234</v>
      </c>
      <c r="D167" s="396">
        <v>0</v>
      </c>
      <c r="E167" s="396">
        <v>217234</v>
      </c>
    </row>
    <row r="168" spans="1:5" ht="12.75">
      <c r="A168" s="390"/>
      <c r="B168" s="390"/>
      <c r="C168" s="391"/>
      <c r="D168" s="391"/>
      <c r="E168" s="391"/>
    </row>
    <row r="169" spans="1:5" ht="31.5" customHeight="1">
      <c r="A169" s="413" t="s">
        <v>526</v>
      </c>
      <c r="B169" s="414"/>
      <c r="C169" s="414"/>
      <c r="D169" s="414"/>
      <c r="E169" s="414"/>
    </row>
    <row r="170" spans="1:5" s="98" customFormat="1" ht="14.25">
      <c r="A170" s="392"/>
      <c r="B170" s="393" t="s">
        <v>495</v>
      </c>
      <c r="C170" s="394">
        <v>2142203</v>
      </c>
      <c r="D170" s="394">
        <v>0</v>
      </c>
      <c r="E170" s="394">
        <v>2142203</v>
      </c>
    </row>
    <row r="171" spans="1:5" ht="15">
      <c r="A171" s="390"/>
      <c r="B171" s="395" t="s">
        <v>499</v>
      </c>
      <c r="C171" s="396">
        <v>2142203</v>
      </c>
      <c r="D171" s="396">
        <v>0</v>
      </c>
      <c r="E171" s="396">
        <v>2142203</v>
      </c>
    </row>
    <row r="172" spans="1:5" ht="12.75">
      <c r="A172" s="390"/>
      <c r="B172" s="390"/>
      <c r="C172" s="391"/>
      <c r="D172" s="391"/>
      <c r="E172" s="391"/>
    </row>
    <row r="173" spans="1:5" ht="31.5" customHeight="1">
      <c r="A173" s="413" t="s">
        <v>810</v>
      </c>
      <c r="B173" s="414"/>
      <c r="C173" s="414"/>
      <c r="D173" s="414"/>
      <c r="E173" s="414"/>
    </row>
    <row r="174" spans="1:5" s="98" customFormat="1" ht="14.25">
      <c r="A174" s="392"/>
      <c r="B174" s="393" t="s">
        <v>495</v>
      </c>
      <c r="C174" s="394">
        <v>15856</v>
      </c>
      <c r="D174" s="394">
        <v>0</v>
      </c>
      <c r="E174" s="394">
        <v>15856</v>
      </c>
    </row>
    <row r="175" spans="1:5" ht="15">
      <c r="A175" s="390"/>
      <c r="B175" s="395" t="s">
        <v>497</v>
      </c>
      <c r="C175" s="396">
        <v>15356</v>
      </c>
      <c r="D175" s="396">
        <v>0</v>
      </c>
      <c r="E175" s="396">
        <v>15356</v>
      </c>
    </row>
    <row r="176" spans="1:5" ht="15">
      <c r="A176" s="390"/>
      <c r="B176" s="395" t="s">
        <v>499</v>
      </c>
      <c r="C176" s="396">
        <v>500</v>
      </c>
      <c r="D176" s="396">
        <v>0</v>
      </c>
      <c r="E176" s="396">
        <v>500</v>
      </c>
    </row>
    <row r="177" spans="1:5" ht="12.75">
      <c r="A177" s="390"/>
      <c r="B177" s="390"/>
      <c r="C177" s="391"/>
      <c r="D177" s="391"/>
      <c r="E177" s="391"/>
    </row>
    <row r="178" spans="1:5" ht="15.75" customHeight="1">
      <c r="A178" s="413" t="s">
        <v>527</v>
      </c>
      <c r="B178" s="414"/>
      <c r="C178" s="414"/>
      <c r="D178" s="414"/>
      <c r="E178" s="414"/>
    </row>
    <row r="179" spans="1:5" s="98" customFormat="1" ht="14.25">
      <c r="A179" s="392"/>
      <c r="B179" s="393" t="s">
        <v>495</v>
      </c>
      <c r="C179" s="394">
        <v>64370</v>
      </c>
      <c r="D179" s="394">
        <v>0</v>
      </c>
      <c r="E179" s="394">
        <v>64370</v>
      </c>
    </row>
    <row r="180" spans="1:5" ht="15">
      <c r="A180" s="390"/>
      <c r="B180" s="395" t="s">
        <v>496</v>
      </c>
      <c r="C180" s="396">
        <v>22495</v>
      </c>
      <c r="D180" s="396">
        <v>0</v>
      </c>
      <c r="E180" s="396">
        <v>22495</v>
      </c>
    </row>
    <row r="181" spans="1:5" ht="15">
      <c r="A181" s="390"/>
      <c r="B181" s="395" t="s">
        <v>497</v>
      </c>
      <c r="C181" s="396">
        <v>41875</v>
      </c>
      <c r="D181" s="396">
        <v>0</v>
      </c>
      <c r="E181" s="396">
        <v>41875</v>
      </c>
    </row>
    <row r="182" spans="1:5" ht="12.75">
      <c r="A182" s="390"/>
      <c r="B182" s="390"/>
      <c r="C182" s="391"/>
      <c r="D182" s="391"/>
      <c r="E182" s="391"/>
    </row>
    <row r="183" spans="1:5" ht="15.75" customHeight="1">
      <c r="A183" s="413" t="s">
        <v>528</v>
      </c>
      <c r="B183" s="414"/>
      <c r="C183" s="414"/>
      <c r="D183" s="414"/>
      <c r="E183" s="414"/>
    </row>
    <row r="184" spans="1:5" s="98" customFormat="1" ht="14.25">
      <c r="A184" s="392"/>
      <c r="B184" s="393" t="s">
        <v>495</v>
      </c>
      <c r="C184" s="394">
        <v>500</v>
      </c>
      <c r="D184" s="394">
        <v>0</v>
      </c>
      <c r="E184" s="394">
        <v>500</v>
      </c>
    </row>
    <row r="185" spans="1:5" ht="15">
      <c r="A185" s="390"/>
      <c r="B185" s="395" t="s">
        <v>496</v>
      </c>
      <c r="C185" s="396">
        <v>500</v>
      </c>
      <c r="D185" s="396">
        <v>0</v>
      </c>
      <c r="E185" s="396">
        <v>500</v>
      </c>
    </row>
    <row r="186" spans="1:5" ht="12.75">
      <c r="A186" s="390"/>
      <c r="B186" s="390"/>
      <c r="C186" s="391"/>
      <c r="D186" s="391"/>
      <c r="E186" s="391"/>
    </row>
    <row r="187" spans="1:5" ht="15.75" customHeight="1">
      <c r="A187" s="413" t="s">
        <v>811</v>
      </c>
      <c r="B187" s="414"/>
      <c r="C187" s="414"/>
      <c r="D187" s="414"/>
      <c r="E187" s="414"/>
    </row>
    <row r="188" spans="1:5" s="98" customFormat="1" ht="14.25">
      <c r="A188" s="392"/>
      <c r="B188" s="393" t="s">
        <v>495</v>
      </c>
      <c r="C188" s="394">
        <v>4300</v>
      </c>
      <c r="D188" s="394">
        <v>0</v>
      </c>
      <c r="E188" s="394">
        <v>4300</v>
      </c>
    </row>
    <row r="189" spans="1:5" ht="15">
      <c r="A189" s="390"/>
      <c r="B189" s="395" t="s">
        <v>496</v>
      </c>
      <c r="C189" s="396">
        <v>3008</v>
      </c>
      <c r="D189" s="396">
        <v>-1067</v>
      </c>
      <c r="E189" s="396">
        <v>1941</v>
      </c>
    </row>
    <row r="190" spans="1:5" ht="15">
      <c r="A190" s="390"/>
      <c r="B190" s="395" t="s">
        <v>497</v>
      </c>
      <c r="C190" s="396">
        <v>1292</v>
      </c>
      <c r="D190" s="396">
        <v>-171</v>
      </c>
      <c r="E190" s="396">
        <v>1121</v>
      </c>
    </row>
    <row r="191" spans="1:5" ht="30">
      <c r="A191" s="390"/>
      <c r="B191" s="395" t="s">
        <v>501</v>
      </c>
      <c r="C191" s="396">
        <v>0</v>
      </c>
      <c r="D191" s="396">
        <v>1238</v>
      </c>
      <c r="E191" s="396">
        <v>1238</v>
      </c>
    </row>
    <row r="192" spans="1:5" ht="12.75">
      <c r="A192" s="390"/>
      <c r="B192" s="390"/>
      <c r="C192" s="391"/>
      <c r="D192" s="391"/>
      <c r="E192" s="391"/>
    </row>
    <row r="193" spans="1:5" s="98" customFormat="1" ht="15.75" customHeight="1">
      <c r="A193" s="413" t="s">
        <v>529</v>
      </c>
      <c r="B193" s="414"/>
      <c r="C193" s="414"/>
      <c r="D193" s="414"/>
      <c r="E193" s="414"/>
    </row>
    <row r="194" spans="1:5" s="98" customFormat="1" ht="14.25">
      <c r="A194" s="392"/>
      <c r="B194" s="393" t="s">
        <v>495</v>
      </c>
      <c r="C194" s="394">
        <v>297255</v>
      </c>
      <c r="D194" s="394">
        <v>0</v>
      </c>
      <c r="E194" s="394">
        <v>297255</v>
      </c>
    </row>
    <row r="195" spans="1:5" ht="15">
      <c r="A195" s="390"/>
      <c r="B195" s="395" t="s">
        <v>496</v>
      </c>
      <c r="C195" s="396">
        <v>105769</v>
      </c>
      <c r="D195" s="396">
        <v>0</v>
      </c>
      <c r="E195" s="396">
        <v>105769</v>
      </c>
    </row>
    <row r="196" spans="1:5" ht="15">
      <c r="A196" s="390"/>
      <c r="B196" s="395" t="s">
        <v>497</v>
      </c>
      <c r="C196" s="396">
        <v>188486</v>
      </c>
      <c r="D196" s="396">
        <v>0</v>
      </c>
      <c r="E196" s="396">
        <v>188486</v>
      </c>
    </row>
    <row r="197" spans="1:5" ht="30">
      <c r="A197" s="390"/>
      <c r="B197" s="395" t="s">
        <v>501</v>
      </c>
      <c r="C197" s="396">
        <v>3000</v>
      </c>
      <c r="D197" s="396">
        <v>0</v>
      </c>
      <c r="E197" s="396">
        <v>3000</v>
      </c>
    </row>
    <row r="198" spans="1:5" ht="12.75">
      <c r="A198" s="390"/>
      <c r="B198" s="390"/>
      <c r="C198" s="391"/>
      <c r="D198" s="391"/>
      <c r="E198" s="391"/>
    </row>
    <row r="199" spans="1:5" s="98" customFormat="1" ht="15.75" customHeight="1">
      <c r="A199" s="413" t="s">
        <v>530</v>
      </c>
      <c r="B199" s="414"/>
      <c r="C199" s="414"/>
      <c r="D199" s="414"/>
      <c r="E199" s="414"/>
    </row>
    <row r="200" spans="1:5" s="98" customFormat="1" ht="14.25">
      <c r="A200" s="392"/>
      <c r="B200" s="393" t="s">
        <v>495</v>
      </c>
      <c r="C200" s="394">
        <v>1262580</v>
      </c>
      <c r="D200" s="394">
        <v>0</v>
      </c>
      <c r="E200" s="394">
        <v>1262580</v>
      </c>
    </row>
    <row r="201" spans="1:5" ht="15">
      <c r="A201" s="390"/>
      <c r="B201" s="395" t="s">
        <v>497</v>
      </c>
      <c r="C201" s="396">
        <v>51992</v>
      </c>
      <c r="D201" s="396">
        <v>0</v>
      </c>
      <c r="E201" s="396">
        <v>51992</v>
      </c>
    </row>
    <row r="202" spans="1:5" ht="15">
      <c r="A202" s="390"/>
      <c r="B202" s="395" t="s">
        <v>499</v>
      </c>
      <c r="C202" s="396">
        <v>1210588</v>
      </c>
      <c r="D202" s="396">
        <v>0</v>
      </c>
      <c r="E202" s="396">
        <v>1210588</v>
      </c>
    </row>
    <row r="203" spans="1:5" ht="12.75">
      <c r="A203" s="390"/>
      <c r="B203" s="390"/>
      <c r="C203" s="391"/>
      <c r="D203" s="391"/>
      <c r="E203" s="391"/>
    </row>
    <row r="204" spans="1:5" s="98" customFormat="1" ht="31.5" customHeight="1">
      <c r="A204" s="413" t="s">
        <v>812</v>
      </c>
      <c r="B204" s="414"/>
      <c r="C204" s="414"/>
      <c r="D204" s="414"/>
      <c r="E204" s="414"/>
    </row>
    <row r="205" spans="1:5" s="98" customFormat="1" ht="14.25">
      <c r="A205" s="392"/>
      <c r="B205" s="393" t="s">
        <v>495</v>
      </c>
      <c r="C205" s="394">
        <v>331021</v>
      </c>
      <c r="D205" s="394">
        <v>0</v>
      </c>
      <c r="E205" s="394">
        <v>331021</v>
      </c>
    </row>
    <row r="206" spans="1:5" ht="15">
      <c r="A206" s="390"/>
      <c r="B206" s="395" t="s">
        <v>499</v>
      </c>
      <c r="C206" s="396">
        <v>331021</v>
      </c>
      <c r="D206" s="396">
        <v>0</v>
      </c>
      <c r="E206" s="396">
        <v>331021</v>
      </c>
    </row>
    <row r="207" spans="1:5" ht="18" customHeight="1">
      <c r="A207" s="390"/>
      <c r="B207" s="390"/>
      <c r="C207" s="391"/>
      <c r="D207" s="391"/>
      <c r="E207" s="391"/>
    </row>
    <row r="208" spans="1:5" ht="15.75" customHeight="1">
      <c r="A208" s="415" t="s">
        <v>858</v>
      </c>
      <c r="B208" s="414"/>
      <c r="C208" s="414"/>
      <c r="D208" s="414"/>
      <c r="E208" s="414"/>
    </row>
    <row r="209" spans="1:5" ht="14.25">
      <c r="A209" s="386"/>
      <c r="B209" s="387" t="s">
        <v>495</v>
      </c>
      <c r="C209" s="388">
        <v>5319238</v>
      </c>
      <c r="D209" s="388">
        <v>5000</v>
      </c>
      <c r="E209" s="388">
        <v>5324238</v>
      </c>
    </row>
    <row r="210" spans="1:5" ht="14.25">
      <c r="A210" s="386"/>
      <c r="B210" s="387" t="s">
        <v>497</v>
      </c>
      <c r="C210" s="388">
        <v>386185</v>
      </c>
      <c r="D210" s="388">
        <v>-2078</v>
      </c>
      <c r="E210" s="388">
        <v>384107</v>
      </c>
    </row>
    <row r="211" spans="1:5" ht="14.25">
      <c r="A211" s="386"/>
      <c r="B211" s="387" t="s">
        <v>498</v>
      </c>
      <c r="C211" s="388">
        <v>4883053</v>
      </c>
      <c r="D211" s="388">
        <v>7078</v>
      </c>
      <c r="E211" s="388">
        <v>4890131</v>
      </c>
    </row>
    <row r="212" spans="1:5" ht="14.25">
      <c r="A212" s="386"/>
      <c r="B212" s="387" t="s">
        <v>531</v>
      </c>
      <c r="C212" s="388">
        <v>50000</v>
      </c>
      <c r="D212" s="388">
        <v>0</v>
      </c>
      <c r="E212" s="388">
        <v>50000</v>
      </c>
    </row>
    <row r="213" spans="1:5" ht="12.75">
      <c r="A213" s="390"/>
      <c r="B213" s="390"/>
      <c r="C213" s="391"/>
      <c r="D213" s="391"/>
      <c r="E213" s="391"/>
    </row>
    <row r="214" spans="1:5" s="98" customFormat="1" ht="15.75" customHeight="1">
      <c r="A214" s="413" t="s">
        <v>532</v>
      </c>
      <c r="B214" s="414"/>
      <c r="C214" s="414"/>
      <c r="D214" s="414"/>
      <c r="E214" s="414"/>
    </row>
    <row r="215" spans="1:5" s="98" customFormat="1" ht="14.25">
      <c r="A215" s="392"/>
      <c r="B215" s="393" t="s">
        <v>495</v>
      </c>
      <c r="C215" s="394">
        <v>9154</v>
      </c>
      <c r="D215" s="394">
        <v>5364</v>
      </c>
      <c r="E215" s="394">
        <v>14518</v>
      </c>
    </row>
    <row r="216" spans="1:5" ht="15">
      <c r="A216" s="390"/>
      <c r="B216" s="395" t="s">
        <v>497</v>
      </c>
      <c r="C216" s="396">
        <v>9154</v>
      </c>
      <c r="D216" s="396">
        <v>5364</v>
      </c>
      <c r="E216" s="396">
        <v>14518</v>
      </c>
    </row>
    <row r="217" spans="1:5" ht="12.75">
      <c r="A217" s="390"/>
      <c r="B217" s="390"/>
      <c r="C217" s="391"/>
      <c r="D217" s="391"/>
      <c r="E217" s="391"/>
    </row>
    <row r="218" spans="1:5" s="98" customFormat="1" ht="15.75" customHeight="1">
      <c r="A218" s="413" t="s">
        <v>533</v>
      </c>
      <c r="B218" s="414"/>
      <c r="C218" s="414"/>
      <c r="D218" s="414"/>
      <c r="E218" s="414"/>
    </row>
    <row r="219" spans="1:5" s="98" customFormat="1" ht="14.25">
      <c r="A219" s="392"/>
      <c r="B219" s="393" t="s">
        <v>495</v>
      </c>
      <c r="C219" s="394">
        <v>301490</v>
      </c>
      <c r="D219" s="394">
        <v>-5364</v>
      </c>
      <c r="E219" s="394">
        <v>296126</v>
      </c>
    </row>
    <row r="220" spans="1:5" ht="15">
      <c r="A220" s="390"/>
      <c r="B220" s="395" t="s">
        <v>497</v>
      </c>
      <c r="C220" s="396">
        <v>251490</v>
      </c>
      <c r="D220" s="396">
        <v>-5364</v>
      </c>
      <c r="E220" s="396">
        <v>246126</v>
      </c>
    </row>
    <row r="221" spans="1:5" ht="15">
      <c r="A221" s="390"/>
      <c r="B221" s="395" t="s">
        <v>531</v>
      </c>
      <c r="C221" s="396">
        <v>50000</v>
      </c>
      <c r="D221" s="396">
        <v>0</v>
      </c>
      <c r="E221" s="396">
        <v>50000</v>
      </c>
    </row>
    <row r="222" spans="1:5" ht="12.75">
      <c r="A222" s="390"/>
      <c r="B222" s="390"/>
      <c r="C222" s="391"/>
      <c r="D222" s="391"/>
      <c r="E222" s="391"/>
    </row>
    <row r="223" spans="1:5" s="98" customFormat="1" ht="15.75" customHeight="1">
      <c r="A223" s="413" t="s">
        <v>534</v>
      </c>
      <c r="B223" s="414"/>
      <c r="C223" s="414"/>
      <c r="D223" s="414"/>
      <c r="E223" s="414"/>
    </row>
    <row r="224" spans="1:5" s="98" customFormat="1" ht="14.25">
      <c r="A224" s="392"/>
      <c r="B224" s="393" t="s">
        <v>495</v>
      </c>
      <c r="C224" s="394">
        <v>30829</v>
      </c>
      <c r="D224" s="394">
        <v>-2078</v>
      </c>
      <c r="E224" s="394">
        <v>28751</v>
      </c>
    </row>
    <row r="225" spans="1:5" ht="15">
      <c r="A225" s="390"/>
      <c r="B225" s="395" t="s">
        <v>497</v>
      </c>
      <c r="C225" s="396">
        <v>30829</v>
      </c>
      <c r="D225" s="396">
        <v>-2078</v>
      </c>
      <c r="E225" s="396">
        <v>28751</v>
      </c>
    </row>
    <row r="226" spans="1:5" ht="12.75">
      <c r="A226" s="390"/>
      <c r="B226" s="390"/>
      <c r="C226" s="391"/>
      <c r="D226" s="391"/>
      <c r="E226" s="391"/>
    </row>
    <row r="227" spans="1:5" s="98" customFormat="1" ht="15.75" customHeight="1">
      <c r="A227" s="413" t="s">
        <v>859</v>
      </c>
      <c r="B227" s="414"/>
      <c r="C227" s="414"/>
      <c r="D227" s="414"/>
      <c r="E227" s="414"/>
    </row>
    <row r="228" spans="1:5" s="98" customFormat="1" ht="14.25">
      <c r="A228" s="392"/>
      <c r="B228" s="393" t="s">
        <v>495</v>
      </c>
      <c r="C228" s="394">
        <v>3363856</v>
      </c>
      <c r="D228" s="394">
        <v>0</v>
      </c>
      <c r="E228" s="394">
        <v>3363856</v>
      </c>
    </row>
    <row r="229" spans="1:5" ht="15">
      <c r="A229" s="390"/>
      <c r="B229" s="395" t="s">
        <v>498</v>
      </c>
      <c r="C229" s="396">
        <v>3363856</v>
      </c>
      <c r="D229" s="396">
        <v>0</v>
      </c>
      <c r="E229" s="396">
        <v>3363856</v>
      </c>
    </row>
    <row r="230" spans="1:5" ht="12.75">
      <c r="A230" s="390"/>
      <c r="B230" s="390"/>
      <c r="C230" s="391"/>
      <c r="D230" s="391"/>
      <c r="E230" s="391"/>
    </row>
    <row r="231" spans="1:5" s="98" customFormat="1" ht="31.5" customHeight="1">
      <c r="A231" s="413" t="s">
        <v>535</v>
      </c>
      <c r="B231" s="414"/>
      <c r="C231" s="414"/>
      <c r="D231" s="414"/>
      <c r="E231" s="414"/>
    </row>
    <row r="232" spans="1:5" s="98" customFormat="1" ht="14.25">
      <c r="A232" s="392"/>
      <c r="B232" s="393" t="s">
        <v>495</v>
      </c>
      <c r="C232" s="394">
        <v>100000</v>
      </c>
      <c r="D232" s="394">
        <v>0</v>
      </c>
      <c r="E232" s="394">
        <v>100000</v>
      </c>
    </row>
    <row r="233" spans="1:5" ht="15">
      <c r="A233" s="390"/>
      <c r="B233" s="395" t="s">
        <v>498</v>
      </c>
      <c r="C233" s="396">
        <v>100000</v>
      </c>
      <c r="D233" s="396">
        <v>0</v>
      </c>
      <c r="E233" s="396">
        <v>100000</v>
      </c>
    </row>
    <row r="234" spans="1:5" ht="12.75">
      <c r="A234" s="390"/>
      <c r="B234" s="390"/>
      <c r="C234" s="391"/>
      <c r="D234" s="391"/>
      <c r="E234" s="391"/>
    </row>
    <row r="235" spans="1:5" s="98" customFormat="1" ht="15.75" customHeight="1">
      <c r="A235" s="413" t="s">
        <v>536</v>
      </c>
      <c r="B235" s="414"/>
      <c r="C235" s="414"/>
      <c r="D235" s="414"/>
      <c r="E235" s="414"/>
    </row>
    <row r="236" spans="1:5" s="98" customFormat="1" ht="14.25">
      <c r="A236" s="392"/>
      <c r="B236" s="393" t="s">
        <v>495</v>
      </c>
      <c r="C236" s="394">
        <v>585547</v>
      </c>
      <c r="D236" s="394">
        <v>0</v>
      </c>
      <c r="E236" s="394">
        <v>585547</v>
      </c>
    </row>
    <row r="237" spans="1:5" ht="15">
      <c r="A237" s="390"/>
      <c r="B237" s="395" t="s">
        <v>498</v>
      </c>
      <c r="C237" s="396">
        <v>585547</v>
      </c>
      <c r="D237" s="396">
        <v>0</v>
      </c>
      <c r="E237" s="396">
        <v>585547</v>
      </c>
    </row>
    <row r="238" spans="1:5" ht="12.75">
      <c r="A238" s="390"/>
      <c r="B238" s="390"/>
      <c r="C238" s="391"/>
      <c r="D238" s="391"/>
      <c r="E238" s="391"/>
    </row>
    <row r="239" spans="1:5" s="98" customFormat="1" ht="15.75" customHeight="1">
      <c r="A239" s="413" t="s">
        <v>860</v>
      </c>
      <c r="B239" s="414"/>
      <c r="C239" s="414"/>
      <c r="D239" s="414"/>
      <c r="E239" s="414"/>
    </row>
    <row r="240" spans="1:5" s="98" customFormat="1" ht="14.25">
      <c r="A240" s="392"/>
      <c r="B240" s="393" t="s">
        <v>495</v>
      </c>
      <c r="C240" s="394">
        <v>162845</v>
      </c>
      <c r="D240" s="394">
        <v>0</v>
      </c>
      <c r="E240" s="394">
        <v>162845</v>
      </c>
    </row>
    <row r="241" spans="1:5" ht="15">
      <c r="A241" s="390"/>
      <c r="B241" s="395" t="s">
        <v>498</v>
      </c>
      <c r="C241" s="396">
        <v>162845</v>
      </c>
      <c r="D241" s="396">
        <v>0</v>
      </c>
      <c r="E241" s="396">
        <v>162845</v>
      </c>
    </row>
    <row r="242" spans="1:5" ht="12.75">
      <c r="A242" s="390"/>
      <c r="B242" s="390"/>
      <c r="C242" s="391"/>
      <c r="D242" s="391"/>
      <c r="E242" s="391"/>
    </row>
    <row r="243" spans="1:5" s="98" customFormat="1" ht="15.75" customHeight="1">
      <c r="A243" s="413" t="s">
        <v>537</v>
      </c>
      <c r="B243" s="414"/>
      <c r="C243" s="414"/>
      <c r="D243" s="414"/>
      <c r="E243" s="414"/>
    </row>
    <row r="244" spans="1:5" s="98" customFormat="1" ht="14.25">
      <c r="A244" s="392"/>
      <c r="B244" s="393" t="s">
        <v>495</v>
      </c>
      <c r="C244" s="394">
        <v>259025</v>
      </c>
      <c r="D244" s="394">
        <v>2078</v>
      </c>
      <c r="E244" s="394">
        <v>261103</v>
      </c>
    </row>
    <row r="245" spans="1:5" ht="15">
      <c r="A245" s="390"/>
      <c r="B245" s="395" t="s">
        <v>498</v>
      </c>
      <c r="C245" s="396">
        <v>259025</v>
      </c>
      <c r="D245" s="396">
        <v>2078</v>
      </c>
      <c r="E245" s="396">
        <v>261103</v>
      </c>
    </row>
    <row r="246" spans="1:5" ht="12.75">
      <c r="A246" s="390"/>
      <c r="B246" s="390"/>
      <c r="C246" s="391"/>
      <c r="D246" s="391"/>
      <c r="E246" s="391"/>
    </row>
    <row r="247" spans="1:5" s="98" customFormat="1" ht="15.75" customHeight="1">
      <c r="A247" s="413" t="s">
        <v>538</v>
      </c>
      <c r="B247" s="414"/>
      <c r="C247" s="414"/>
      <c r="D247" s="414"/>
      <c r="E247" s="414"/>
    </row>
    <row r="248" spans="1:5" s="98" customFormat="1" ht="14.25">
      <c r="A248" s="392"/>
      <c r="B248" s="393" t="s">
        <v>495</v>
      </c>
      <c r="C248" s="394">
        <v>7000</v>
      </c>
      <c r="D248" s="394">
        <v>0</v>
      </c>
      <c r="E248" s="394">
        <v>7000</v>
      </c>
    </row>
    <row r="249" spans="1:5" ht="15">
      <c r="A249" s="390"/>
      <c r="B249" s="395" t="s">
        <v>498</v>
      </c>
      <c r="C249" s="396">
        <v>7000</v>
      </c>
      <c r="D249" s="396">
        <v>0</v>
      </c>
      <c r="E249" s="396">
        <v>7000</v>
      </c>
    </row>
    <row r="250" spans="1:5" ht="12.75">
      <c r="A250" s="390"/>
      <c r="B250" s="390"/>
      <c r="C250" s="391"/>
      <c r="D250" s="391"/>
      <c r="E250" s="391"/>
    </row>
    <row r="251" spans="1:5" s="98" customFormat="1" ht="15.75" customHeight="1">
      <c r="A251" s="413" t="s">
        <v>539</v>
      </c>
      <c r="B251" s="414"/>
      <c r="C251" s="414"/>
      <c r="D251" s="414"/>
      <c r="E251" s="414"/>
    </row>
    <row r="252" spans="1:5" s="98" customFormat="1" ht="14.25">
      <c r="A252" s="392"/>
      <c r="B252" s="393" t="s">
        <v>495</v>
      </c>
      <c r="C252" s="394">
        <v>5000</v>
      </c>
      <c r="D252" s="394">
        <v>0</v>
      </c>
      <c r="E252" s="394">
        <v>5000</v>
      </c>
    </row>
    <row r="253" spans="1:5" ht="15">
      <c r="A253" s="390"/>
      <c r="B253" s="395" t="s">
        <v>498</v>
      </c>
      <c r="C253" s="396">
        <v>5000</v>
      </c>
      <c r="D253" s="396">
        <v>0</v>
      </c>
      <c r="E253" s="396">
        <v>5000</v>
      </c>
    </row>
    <row r="254" spans="1:5" ht="12.75">
      <c r="A254" s="390"/>
      <c r="B254" s="390"/>
      <c r="C254" s="391"/>
      <c r="D254" s="391"/>
      <c r="E254" s="391"/>
    </row>
    <row r="255" spans="1:5" s="98" customFormat="1" ht="15.75" customHeight="1">
      <c r="A255" s="413" t="s">
        <v>861</v>
      </c>
      <c r="B255" s="414"/>
      <c r="C255" s="414"/>
      <c r="D255" s="414"/>
      <c r="E255" s="414"/>
    </row>
    <row r="256" spans="1:5" s="98" customFormat="1" ht="14.25">
      <c r="A256" s="392"/>
      <c r="B256" s="393" t="s">
        <v>495</v>
      </c>
      <c r="C256" s="394">
        <v>276880</v>
      </c>
      <c r="D256" s="394">
        <v>0</v>
      </c>
      <c r="E256" s="394">
        <v>276880</v>
      </c>
    </row>
    <row r="257" spans="1:5" ht="15">
      <c r="A257" s="390"/>
      <c r="B257" s="395" t="s">
        <v>498</v>
      </c>
      <c r="C257" s="396">
        <v>276880</v>
      </c>
      <c r="D257" s="396">
        <v>0</v>
      </c>
      <c r="E257" s="396">
        <v>276880</v>
      </c>
    </row>
    <row r="258" spans="1:5" ht="12.75">
      <c r="A258" s="390"/>
      <c r="B258" s="390"/>
      <c r="C258" s="391"/>
      <c r="D258" s="391"/>
      <c r="E258" s="391"/>
    </row>
    <row r="259" spans="1:5" s="98" customFormat="1" ht="15.75" customHeight="1">
      <c r="A259" s="413" t="s">
        <v>540</v>
      </c>
      <c r="B259" s="414"/>
      <c r="C259" s="414"/>
      <c r="D259" s="414"/>
      <c r="E259" s="414"/>
    </row>
    <row r="260" spans="1:5" s="98" customFormat="1" ht="14.25">
      <c r="A260" s="392"/>
      <c r="B260" s="393" t="s">
        <v>495</v>
      </c>
      <c r="C260" s="394">
        <v>110000</v>
      </c>
      <c r="D260" s="394">
        <v>5000</v>
      </c>
      <c r="E260" s="394">
        <v>115000</v>
      </c>
    </row>
    <row r="261" spans="1:5" ht="15">
      <c r="A261" s="390"/>
      <c r="B261" s="395" t="s">
        <v>498</v>
      </c>
      <c r="C261" s="396">
        <v>110000</v>
      </c>
      <c r="D261" s="396">
        <v>5000</v>
      </c>
      <c r="E261" s="396">
        <v>115000</v>
      </c>
    </row>
    <row r="262" spans="1:5" ht="12.75">
      <c r="A262" s="390"/>
      <c r="B262" s="390"/>
      <c r="C262" s="391"/>
      <c r="D262" s="391"/>
      <c r="E262" s="391"/>
    </row>
    <row r="263" spans="1:5" s="98" customFormat="1" ht="15.75" customHeight="1">
      <c r="A263" s="413" t="s">
        <v>541</v>
      </c>
      <c r="B263" s="414"/>
      <c r="C263" s="414"/>
      <c r="D263" s="414"/>
      <c r="E263" s="414"/>
    </row>
    <row r="264" spans="1:5" s="98" customFormat="1" ht="14.25">
      <c r="A264" s="392"/>
      <c r="B264" s="393" t="s">
        <v>495</v>
      </c>
      <c r="C264" s="394">
        <v>4300</v>
      </c>
      <c r="D264" s="394">
        <v>0</v>
      </c>
      <c r="E264" s="394">
        <v>4300</v>
      </c>
    </row>
    <row r="265" spans="1:5" ht="15">
      <c r="A265" s="390"/>
      <c r="B265" s="395" t="s">
        <v>498</v>
      </c>
      <c r="C265" s="396">
        <v>4300</v>
      </c>
      <c r="D265" s="396">
        <v>0</v>
      </c>
      <c r="E265" s="396">
        <v>4300</v>
      </c>
    </row>
    <row r="266" spans="1:5" ht="12.75">
      <c r="A266" s="390"/>
      <c r="B266" s="390"/>
      <c r="C266" s="391"/>
      <c r="D266" s="391"/>
      <c r="E266" s="391"/>
    </row>
    <row r="267" spans="1:5" s="98" customFormat="1" ht="15.75" customHeight="1">
      <c r="A267" s="413" t="s">
        <v>542</v>
      </c>
      <c r="B267" s="414"/>
      <c r="C267" s="414"/>
      <c r="D267" s="414"/>
      <c r="E267" s="414"/>
    </row>
    <row r="268" spans="1:5" s="98" customFormat="1" ht="14.25">
      <c r="A268" s="392"/>
      <c r="B268" s="393" t="s">
        <v>495</v>
      </c>
      <c r="C268" s="394">
        <v>94712</v>
      </c>
      <c r="D268" s="394">
        <v>0</v>
      </c>
      <c r="E268" s="394">
        <v>94712</v>
      </c>
    </row>
    <row r="269" spans="1:5" ht="15">
      <c r="A269" s="390"/>
      <c r="B269" s="395" t="s">
        <v>497</v>
      </c>
      <c r="C269" s="396">
        <v>94712</v>
      </c>
      <c r="D269" s="396">
        <v>0</v>
      </c>
      <c r="E269" s="396">
        <v>94712</v>
      </c>
    </row>
    <row r="270" spans="1:5" ht="12.75">
      <c r="A270" s="390"/>
      <c r="B270" s="390"/>
      <c r="C270" s="391"/>
      <c r="D270" s="391"/>
      <c r="E270" s="391"/>
    </row>
    <row r="271" spans="1:5" s="98" customFormat="1" ht="15.75" customHeight="1">
      <c r="A271" s="413" t="s">
        <v>543</v>
      </c>
      <c r="B271" s="414"/>
      <c r="C271" s="414"/>
      <c r="D271" s="414"/>
      <c r="E271" s="414"/>
    </row>
    <row r="272" spans="1:5" s="98" customFormat="1" ht="14.25">
      <c r="A272" s="392"/>
      <c r="B272" s="393" t="s">
        <v>495</v>
      </c>
      <c r="C272" s="394">
        <v>6000</v>
      </c>
      <c r="D272" s="394">
        <v>0</v>
      </c>
      <c r="E272" s="394">
        <v>6000</v>
      </c>
    </row>
    <row r="273" spans="1:5" ht="15">
      <c r="A273" s="390"/>
      <c r="B273" s="395" t="s">
        <v>498</v>
      </c>
      <c r="C273" s="396">
        <v>6000</v>
      </c>
      <c r="D273" s="396">
        <v>0</v>
      </c>
      <c r="E273" s="396">
        <v>6000</v>
      </c>
    </row>
    <row r="274" spans="1:5" ht="12.75">
      <c r="A274" s="390"/>
      <c r="B274" s="390"/>
      <c r="C274" s="391"/>
      <c r="D274" s="391"/>
      <c r="E274" s="391"/>
    </row>
    <row r="275" spans="1:5" s="98" customFormat="1" ht="15.75" customHeight="1">
      <c r="A275" s="413" t="s">
        <v>544</v>
      </c>
      <c r="B275" s="414"/>
      <c r="C275" s="414"/>
      <c r="D275" s="414"/>
      <c r="E275" s="414"/>
    </row>
    <row r="276" spans="1:5" s="98" customFormat="1" ht="14.25">
      <c r="A276" s="392"/>
      <c r="B276" s="393" t="s">
        <v>495</v>
      </c>
      <c r="C276" s="394">
        <v>2600</v>
      </c>
      <c r="D276" s="394">
        <v>0</v>
      </c>
      <c r="E276" s="394">
        <v>2600</v>
      </c>
    </row>
    <row r="277" spans="1:5" ht="15">
      <c r="A277" s="390"/>
      <c r="B277" s="395" t="s">
        <v>498</v>
      </c>
      <c r="C277" s="396">
        <v>2600</v>
      </c>
      <c r="D277" s="396">
        <v>0</v>
      </c>
      <c r="E277" s="396">
        <v>2600</v>
      </c>
    </row>
    <row r="278" spans="1:5" ht="22.5" customHeight="1">
      <c r="A278" s="390"/>
      <c r="B278" s="390"/>
      <c r="C278" s="391"/>
      <c r="D278" s="391"/>
      <c r="E278" s="391"/>
    </row>
    <row r="279" spans="1:5" ht="35.25" customHeight="1">
      <c r="A279" s="415" t="s">
        <v>862</v>
      </c>
      <c r="B279" s="414"/>
      <c r="C279" s="414"/>
      <c r="D279" s="414"/>
      <c r="E279" s="414"/>
    </row>
    <row r="280" spans="1:5" ht="14.25">
      <c r="A280" s="386"/>
      <c r="B280" s="387" t="s">
        <v>495</v>
      </c>
      <c r="C280" s="388">
        <v>283446</v>
      </c>
      <c r="D280" s="388">
        <v>0</v>
      </c>
      <c r="E280" s="388">
        <v>283446</v>
      </c>
    </row>
    <row r="281" spans="1:5" ht="14.25">
      <c r="A281" s="386"/>
      <c r="B281" s="387" t="s">
        <v>496</v>
      </c>
      <c r="C281" s="388">
        <v>268449</v>
      </c>
      <c r="D281" s="388">
        <v>0</v>
      </c>
      <c r="E281" s="388">
        <v>268449</v>
      </c>
    </row>
    <row r="282" spans="1:5" ht="14.25">
      <c r="A282" s="386"/>
      <c r="B282" s="387" t="s">
        <v>497</v>
      </c>
      <c r="C282" s="388">
        <v>11197</v>
      </c>
      <c r="D282" s="388">
        <v>0</v>
      </c>
      <c r="E282" s="388">
        <v>11197</v>
      </c>
    </row>
    <row r="283" spans="1:5" ht="14.25">
      <c r="A283" s="386"/>
      <c r="B283" s="387" t="s">
        <v>499</v>
      </c>
      <c r="C283" s="388">
        <v>3800</v>
      </c>
      <c r="D283" s="388">
        <v>0</v>
      </c>
      <c r="E283" s="388">
        <v>3800</v>
      </c>
    </row>
    <row r="284" spans="1:5" ht="12.75">
      <c r="A284" s="390"/>
      <c r="B284" s="390"/>
      <c r="C284" s="391"/>
      <c r="D284" s="391"/>
      <c r="E284" s="391"/>
    </row>
    <row r="285" spans="1:5" s="98" customFormat="1" ht="15.75" customHeight="1">
      <c r="A285" s="413" t="s">
        <v>545</v>
      </c>
      <c r="B285" s="414"/>
      <c r="C285" s="414"/>
      <c r="D285" s="414"/>
      <c r="E285" s="414"/>
    </row>
    <row r="286" spans="1:5" s="98" customFormat="1" ht="14.25">
      <c r="A286" s="392"/>
      <c r="B286" s="393" t="s">
        <v>495</v>
      </c>
      <c r="C286" s="394">
        <v>283446</v>
      </c>
      <c r="D286" s="394">
        <v>0</v>
      </c>
      <c r="E286" s="394">
        <v>283446</v>
      </c>
    </row>
    <row r="287" spans="1:5" ht="15">
      <c r="A287" s="390"/>
      <c r="B287" s="395" t="s">
        <v>496</v>
      </c>
      <c r="C287" s="396">
        <v>268449</v>
      </c>
      <c r="D287" s="396">
        <v>0</v>
      </c>
      <c r="E287" s="396">
        <v>268449</v>
      </c>
    </row>
    <row r="288" spans="1:5" ht="15">
      <c r="A288" s="390"/>
      <c r="B288" s="395" t="s">
        <v>497</v>
      </c>
      <c r="C288" s="396">
        <v>11197</v>
      </c>
      <c r="D288" s="396">
        <v>0</v>
      </c>
      <c r="E288" s="396">
        <v>11197</v>
      </c>
    </row>
    <row r="289" spans="1:5" ht="15">
      <c r="A289" s="390"/>
      <c r="B289" s="395" t="s">
        <v>499</v>
      </c>
      <c r="C289" s="396">
        <v>3800</v>
      </c>
      <c r="D289" s="396">
        <v>0</v>
      </c>
      <c r="E289" s="396">
        <v>3800</v>
      </c>
    </row>
    <row r="290" spans="1:5" ht="24.75" customHeight="1">
      <c r="A290" s="390"/>
      <c r="B290" s="390"/>
      <c r="C290" s="391"/>
      <c r="D290" s="391"/>
      <c r="E290" s="391"/>
    </row>
    <row r="291" spans="1:5" ht="15.75" customHeight="1">
      <c r="A291" s="415" t="s">
        <v>863</v>
      </c>
      <c r="B291" s="414"/>
      <c r="C291" s="414"/>
      <c r="D291" s="414"/>
      <c r="E291" s="414"/>
    </row>
    <row r="292" spans="1:5" ht="14.25">
      <c r="A292" s="386"/>
      <c r="B292" s="387" t="s">
        <v>495</v>
      </c>
      <c r="C292" s="388">
        <v>3236417</v>
      </c>
      <c r="D292" s="388">
        <v>7466</v>
      </c>
      <c r="E292" s="388">
        <v>3243883</v>
      </c>
    </row>
    <row r="293" spans="1:5" ht="14.25">
      <c r="A293" s="386"/>
      <c r="B293" s="387" t="s">
        <v>496</v>
      </c>
      <c r="C293" s="388">
        <v>2845292</v>
      </c>
      <c r="D293" s="388">
        <v>7466</v>
      </c>
      <c r="E293" s="388">
        <v>2852758</v>
      </c>
    </row>
    <row r="294" spans="1:5" ht="14.25">
      <c r="A294" s="386"/>
      <c r="B294" s="387" t="s">
        <v>497</v>
      </c>
      <c r="C294" s="388">
        <v>342044</v>
      </c>
      <c r="D294" s="388">
        <v>0</v>
      </c>
      <c r="E294" s="388">
        <v>342044</v>
      </c>
    </row>
    <row r="295" spans="1:5" ht="14.25">
      <c r="A295" s="386"/>
      <c r="B295" s="387" t="s">
        <v>499</v>
      </c>
      <c r="C295" s="388">
        <v>46581</v>
      </c>
      <c r="D295" s="388">
        <v>0</v>
      </c>
      <c r="E295" s="388">
        <v>46581</v>
      </c>
    </row>
    <row r="296" spans="1:5" ht="14.25">
      <c r="A296" s="386"/>
      <c r="B296" s="387" t="s">
        <v>500</v>
      </c>
      <c r="C296" s="388">
        <v>2500</v>
      </c>
      <c r="D296" s="388">
        <v>0</v>
      </c>
      <c r="E296" s="388">
        <v>2500</v>
      </c>
    </row>
    <row r="297" spans="1:5" ht="12.75">
      <c r="A297" s="390"/>
      <c r="B297" s="390"/>
      <c r="C297" s="391"/>
      <c r="D297" s="391"/>
      <c r="E297" s="391"/>
    </row>
    <row r="298" spans="1:5" s="98" customFormat="1" ht="15.75" customHeight="1">
      <c r="A298" s="413" t="s">
        <v>864</v>
      </c>
      <c r="B298" s="414"/>
      <c r="C298" s="414"/>
      <c r="D298" s="414"/>
      <c r="E298" s="414"/>
    </row>
    <row r="299" spans="1:5" s="98" customFormat="1" ht="14.25">
      <c r="A299" s="392"/>
      <c r="B299" s="393" t="s">
        <v>495</v>
      </c>
      <c r="C299" s="394">
        <v>3236417</v>
      </c>
      <c r="D299" s="394">
        <v>7466</v>
      </c>
      <c r="E299" s="394">
        <v>3243883</v>
      </c>
    </row>
    <row r="300" spans="1:5" ht="15">
      <c r="A300" s="390"/>
      <c r="B300" s="395" t="s">
        <v>496</v>
      </c>
      <c r="C300" s="396">
        <v>2845292</v>
      </c>
      <c r="D300" s="396">
        <v>7466</v>
      </c>
      <c r="E300" s="396">
        <v>2852758</v>
      </c>
    </row>
    <row r="301" spans="1:5" ht="15">
      <c r="A301" s="390"/>
      <c r="B301" s="395" t="s">
        <v>497</v>
      </c>
      <c r="C301" s="396">
        <v>342044</v>
      </c>
      <c r="D301" s="396">
        <v>0</v>
      </c>
      <c r="E301" s="396">
        <v>342044</v>
      </c>
    </row>
    <row r="302" spans="1:5" ht="15">
      <c r="A302" s="390"/>
      <c r="B302" s="395" t="s">
        <v>499</v>
      </c>
      <c r="C302" s="396">
        <v>46581</v>
      </c>
      <c r="D302" s="396">
        <v>0</v>
      </c>
      <c r="E302" s="396">
        <v>46581</v>
      </c>
    </row>
    <row r="303" spans="1:5" ht="15">
      <c r="A303" s="390"/>
      <c r="B303" s="395" t="s">
        <v>500</v>
      </c>
      <c r="C303" s="396">
        <v>2500</v>
      </c>
      <c r="D303" s="396">
        <v>0</v>
      </c>
      <c r="E303" s="396">
        <v>2500</v>
      </c>
    </row>
    <row r="304" spans="1:5" ht="22.5" customHeight="1">
      <c r="A304" s="390"/>
      <c r="B304" s="390"/>
      <c r="C304" s="391"/>
      <c r="D304" s="391"/>
      <c r="E304" s="391"/>
    </row>
    <row r="305" spans="1:5" s="98" customFormat="1" ht="31.5" customHeight="1">
      <c r="A305" s="415" t="s">
        <v>865</v>
      </c>
      <c r="B305" s="416"/>
      <c r="C305" s="416"/>
      <c r="D305" s="416"/>
      <c r="E305" s="416"/>
    </row>
    <row r="306" spans="1:5" ht="14.25">
      <c r="A306" s="386"/>
      <c r="B306" s="387" t="s">
        <v>495</v>
      </c>
      <c r="C306" s="388">
        <v>493820</v>
      </c>
      <c r="D306" s="388">
        <v>0</v>
      </c>
      <c r="E306" s="388">
        <v>493820</v>
      </c>
    </row>
    <row r="307" spans="1:5" ht="14.25">
      <c r="A307" s="386"/>
      <c r="B307" s="387" t="s">
        <v>496</v>
      </c>
      <c r="C307" s="388">
        <v>289407</v>
      </c>
      <c r="D307" s="388">
        <v>0</v>
      </c>
      <c r="E307" s="388">
        <v>289407</v>
      </c>
    </row>
    <row r="308" spans="1:5" ht="14.25">
      <c r="A308" s="386"/>
      <c r="B308" s="387" t="s">
        <v>497</v>
      </c>
      <c r="C308" s="388">
        <v>158482</v>
      </c>
      <c r="D308" s="388">
        <v>-192</v>
      </c>
      <c r="E308" s="388">
        <v>158290</v>
      </c>
    </row>
    <row r="309" spans="1:5" ht="14.25">
      <c r="A309" s="386"/>
      <c r="B309" s="387" t="s">
        <v>499</v>
      </c>
      <c r="C309" s="388">
        <v>45457</v>
      </c>
      <c r="D309" s="388">
        <v>192</v>
      </c>
      <c r="E309" s="388">
        <v>45649</v>
      </c>
    </row>
    <row r="310" spans="1:5" ht="28.5">
      <c r="A310" s="386"/>
      <c r="B310" s="387" t="s">
        <v>501</v>
      </c>
      <c r="C310" s="388">
        <v>474</v>
      </c>
      <c r="D310" s="388">
        <v>0</v>
      </c>
      <c r="E310" s="388">
        <v>474</v>
      </c>
    </row>
    <row r="311" spans="1:5" ht="12.75">
      <c r="A311" s="390"/>
      <c r="B311" s="390"/>
      <c r="C311" s="391"/>
      <c r="D311" s="391"/>
      <c r="E311" s="391"/>
    </row>
    <row r="312" spans="1:5" s="98" customFormat="1" ht="15.75" customHeight="1">
      <c r="A312" s="413" t="s">
        <v>866</v>
      </c>
      <c r="B312" s="414"/>
      <c r="C312" s="414"/>
      <c r="D312" s="414"/>
      <c r="E312" s="414"/>
    </row>
    <row r="313" spans="1:5" s="98" customFormat="1" ht="14.25">
      <c r="A313" s="392"/>
      <c r="B313" s="393" t="s">
        <v>495</v>
      </c>
      <c r="C313" s="394">
        <v>363594</v>
      </c>
      <c r="D313" s="394">
        <v>0</v>
      </c>
      <c r="E313" s="394">
        <v>363594</v>
      </c>
    </row>
    <row r="314" spans="1:5" ht="15">
      <c r="A314" s="390"/>
      <c r="B314" s="395" t="s">
        <v>496</v>
      </c>
      <c r="C314" s="396">
        <v>283007</v>
      </c>
      <c r="D314" s="396">
        <v>0</v>
      </c>
      <c r="E314" s="396">
        <v>283007</v>
      </c>
    </row>
    <row r="315" spans="1:5" ht="15">
      <c r="A315" s="390"/>
      <c r="B315" s="395" t="s">
        <v>497</v>
      </c>
      <c r="C315" s="396">
        <v>68348</v>
      </c>
      <c r="D315" s="396">
        <v>-192</v>
      </c>
      <c r="E315" s="396">
        <v>68156</v>
      </c>
    </row>
    <row r="316" spans="1:5" ht="15">
      <c r="A316" s="390"/>
      <c r="B316" s="395" t="s">
        <v>499</v>
      </c>
      <c r="C316" s="396">
        <v>11765</v>
      </c>
      <c r="D316" s="396">
        <v>192</v>
      </c>
      <c r="E316" s="396">
        <v>11957</v>
      </c>
    </row>
    <row r="317" spans="1:5" ht="30">
      <c r="A317" s="390"/>
      <c r="B317" s="395" t="s">
        <v>501</v>
      </c>
      <c r="C317" s="396">
        <v>474</v>
      </c>
      <c r="D317" s="396">
        <v>0</v>
      </c>
      <c r="E317" s="396">
        <v>474</v>
      </c>
    </row>
    <row r="318" spans="1:5" ht="12.75">
      <c r="A318" s="390"/>
      <c r="B318" s="390"/>
      <c r="C318" s="391"/>
      <c r="D318" s="391"/>
      <c r="E318" s="391"/>
    </row>
    <row r="319" spans="1:5" s="98" customFormat="1" ht="15.75" customHeight="1">
      <c r="A319" s="413" t="s">
        <v>867</v>
      </c>
      <c r="B319" s="414"/>
      <c r="C319" s="414"/>
      <c r="D319" s="414"/>
      <c r="E319" s="414"/>
    </row>
    <row r="320" spans="1:5" s="98" customFormat="1" ht="14.25">
      <c r="A320" s="392"/>
      <c r="B320" s="393" t="s">
        <v>495</v>
      </c>
      <c r="C320" s="394">
        <v>23692</v>
      </c>
      <c r="D320" s="394">
        <v>0</v>
      </c>
      <c r="E320" s="394">
        <v>23692</v>
      </c>
    </row>
    <row r="321" spans="1:5" ht="15">
      <c r="A321" s="390"/>
      <c r="B321" s="395" t="s">
        <v>499</v>
      </c>
      <c r="C321" s="396">
        <v>23692</v>
      </c>
      <c r="D321" s="396">
        <v>0</v>
      </c>
      <c r="E321" s="396">
        <v>23692</v>
      </c>
    </row>
    <row r="322" spans="1:5" ht="12.75">
      <c r="A322" s="390"/>
      <c r="B322" s="390"/>
      <c r="C322" s="391"/>
      <c r="D322" s="391"/>
      <c r="E322" s="391"/>
    </row>
    <row r="323" spans="1:5" s="98" customFormat="1" ht="15.75" customHeight="1">
      <c r="A323" s="413" t="s">
        <v>813</v>
      </c>
      <c r="B323" s="414"/>
      <c r="C323" s="414"/>
      <c r="D323" s="414"/>
      <c r="E323" s="414"/>
    </row>
    <row r="324" spans="1:5" s="98" customFormat="1" ht="14.25">
      <c r="A324" s="392"/>
      <c r="B324" s="393" t="s">
        <v>495</v>
      </c>
      <c r="C324" s="394">
        <v>106534</v>
      </c>
      <c r="D324" s="394">
        <v>0</v>
      </c>
      <c r="E324" s="394">
        <v>106534</v>
      </c>
    </row>
    <row r="325" spans="1:5" ht="15">
      <c r="A325" s="390"/>
      <c r="B325" s="395" t="s">
        <v>496</v>
      </c>
      <c r="C325" s="396">
        <v>6400</v>
      </c>
      <c r="D325" s="396">
        <v>0</v>
      </c>
      <c r="E325" s="396">
        <v>6400</v>
      </c>
    </row>
    <row r="326" spans="1:5" ht="15">
      <c r="A326" s="390"/>
      <c r="B326" s="395" t="s">
        <v>497</v>
      </c>
      <c r="C326" s="396">
        <v>90134</v>
      </c>
      <c r="D326" s="396">
        <v>0</v>
      </c>
      <c r="E326" s="396">
        <v>90134</v>
      </c>
    </row>
    <row r="327" spans="1:5" ht="15">
      <c r="A327" s="390"/>
      <c r="B327" s="395" t="s">
        <v>499</v>
      </c>
      <c r="C327" s="396">
        <v>10000</v>
      </c>
      <c r="D327" s="396">
        <v>0</v>
      </c>
      <c r="E327" s="396">
        <v>10000</v>
      </c>
    </row>
    <row r="328" spans="1:5" ht="27" customHeight="1">
      <c r="A328" s="390"/>
      <c r="B328" s="390"/>
      <c r="C328" s="391"/>
      <c r="D328" s="391"/>
      <c r="E328" s="391"/>
    </row>
    <row r="329" spans="1:5" s="98" customFormat="1" ht="31.5" customHeight="1">
      <c r="A329" s="415" t="s">
        <v>868</v>
      </c>
      <c r="B329" s="416"/>
      <c r="C329" s="416"/>
      <c r="D329" s="416"/>
      <c r="E329" s="416"/>
    </row>
    <row r="330" spans="1:5" ht="14.25">
      <c r="A330" s="386"/>
      <c r="B330" s="387" t="s">
        <v>495</v>
      </c>
      <c r="C330" s="388">
        <v>428130</v>
      </c>
      <c r="D330" s="388">
        <v>0</v>
      </c>
      <c r="E330" s="388">
        <v>428130</v>
      </c>
    </row>
    <row r="331" spans="1:5" ht="14.25">
      <c r="A331" s="386"/>
      <c r="B331" s="387" t="s">
        <v>496</v>
      </c>
      <c r="C331" s="388">
        <v>291494</v>
      </c>
      <c r="D331" s="388">
        <v>0</v>
      </c>
      <c r="E331" s="388">
        <v>291494</v>
      </c>
    </row>
    <row r="332" spans="1:5" ht="14.25">
      <c r="A332" s="386"/>
      <c r="B332" s="387" t="s">
        <v>497</v>
      </c>
      <c r="C332" s="388">
        <v>128236</v>
      </c>
      <c r="D332" s="388">
        <v>0</v>
      </c>
      <c r="E332" s="388">
        <v>128236</v>
      </c>
    </row>
    <row r="333" spans="1:5" ht="14.25">
      <c r="A333" s="386"/>
      <c r="B333" s="387" t="s">
        <v>499</v>
      </c>
      <c r="C333" s="388">
        <v>8400</v>
      </c>
      <c r="D333" s="388">
        <v>0</v>
      </c>
      <c r="E333" s="388">
        <v>8400</v>
      </c>
    </row>
    <row r="334" spans="1:5" ht="12.75">
      <c r="A334" s="390"/>
      <c r="B334" s="390"/>
      <c r="C334" s="391"/>
      <c r="D334" s="391"/>
      <c r="E334" s="391"/>
    </row>
    <row r="335" spans="1:5" s="98" customFormat="1" ht="15.75" customHeight="1">
      <c r="A335" s="413" t="s">
        <v>546</v>
      </c>
      <c r="B335" s="414"/>
      <c r="C335" s="414"/>
      <c r="D335" s="414"/>
      <c r="E335" s="414"/>
    </row>
    <row r="336" spans="1:5" s="98" customFormat="1" ht="14.25">
      <c r="A336" s="392"/>
      <c r="B336" s="393" t="s">
        <v>495</v>
      </c>
      <c r="C336" s="394">
        <v>428130</v>
      </c>
      <c r="D336" s="394">
        <v>0</v>
      </c>
      <c r="E336" s="394">
        <v>428130</v>
      </c>
    </row>
    <row r="337" spans="1:5" ht="15">
      <c r="A337" s="390"/>
      <c r="B337" s="395" t="s">
        <v>496</v>
      </c>
      <c r="C337" s="396">
        <v>291494</v>
      </c>
      <c r="D337" s="396">
        <v>0</v>
      </c>
      <c r="E337" s="396">
        <v>291494</v>
      </c>
    </row>
    <row r="338" spans="1:5" ht="15">
      <c r="A338" s="390"/>
      <c r="B338" s="395" t="s">
        <v>497</v>
      </c>
      <c r="C338" s="396">
        <v>128236</v>
      </c>
      <c r="D338" s="396">
        <v>0</v>
      </c>
      <c r="E338" s="396">
        <v>128236</v>
      </c>
    </row>
    <row r="339" spans="1:5" ht="15">
      <c r="A339" s="390"/>
      <c r="B339" s="395" t="s">
        <v>499</v>
      </c>
      <c r="C339" s="396">
        <v>8400</v>
      </c>
      <c r="D339" s="396">
        <v>0</v>
      </c>
      <c r="E339" s="396">
        <v>8400</v>
      </c>
    </row>
    <row r="340" spans="1:5" ht="22.5" customHeight="1">
      <c r="A340" s="390"/>
      <c r="B340" s="390"/>
      <c r="C340" s="391"/>
      <c r="D340" s="391"/>
      <c r="E340" s="391"/>
    </row>
    <row r="341" spans="1:5" s="98" customFormat="1" ht="15.75" customHeight="1">
      <c r="A341" s="415" t="s">
        <v>869</v>
      </c>
      <c r="B341" s="416"/>
      <c r="C341" s="416"/>
      <c r="D341" s="416"/>
      <c r="E341" s="416"/>
    </row>
    <row r="342" spans="1:5" ht="14.25">
      <c r="A342" s="386"/>
      <c r="B342" s="387" t="s">
        <v>495</v>
      </c>
      <c r="C342" s="388">
        <v>8212602</v>
      </c>
      <c r="D342" s="388">
        <v>2000</v>
      </c>
      <c r="E342" s="388">
        <v>8214602</v>
      </c>
    </row>
    <row r="343" spans="1:5" ht="14.25">
      <c r="A343" s="386"/>
      <c r="B343" s="387" t="s">
        <v>496</v>
      </c>
      <c r="C343" s="388">
        <v>890995</v>
      </c>
      <c r="D343" s="388">
        <v>-6713</v>
      </c>
      <c r="E343" s="388">
        <v>884282</v>
      </c>
    </row>
    <row r="344" spans="1:5" ht="14.25">
      <c r="A344" s="386"/>
      <c r="B344" s="387" t="s">
        <v>497</v>
      </c>
      <c r="C344" s="388">
        <v>4830468</v>
      </c>
      <c r="D344" s="388">
        <v>26997</v>
      </c>
      <c r="E344" s="388">
        <v>4857465</v>
      </c>
    </row>
    <row r="345" spans="1:5" ht="14.25">
      <c r="A345" s="386"/>
      <c r="B345" s="387" t="s">
        <v>498</v>
      </c>
      <c r="C345" s="388">
        <v>152044</v>
      </c>
      <c r="D345" s="388">
        <v>0</v>
      </c>
      <c r="E345" s="388">
        <v>152044</v>
      </c>
    </row>
    <row r="346" spans="1:5" ht="14.25">
      <c r="A346" s="386"/>
      <c r="B346" s="387" t="s">
        <v>499</v>
      </c>
      <c r="C346" s="388">
        <v>2300095</v>
      </c>
      <c r="D346" s="388">
        <v>-18284</v>
      </c>
      <c r="E346" s="388">
        <v>2281811</v>
      </c>
    </row>
    <row r="347" spans="1:5" ht="14.25">
      <c r="A347" s="386"/>
      <c r="B347" s="387" t="s">
        <v>500</v>
      </c>
      <c r="C347" s="388">
        <v>39000</v>
      </c>
      <c r="D347" s="388">
        <v>0</v>
      </c>
      <c r="E347" s="388">
        <v>39000</v>
      </c>
    </row>
    <row r="348" spans="1:5" ht="12.75">
      <c r="A348" s="390"/>
      <c r="B348" s="390"/>
      <c r="C348" s="391"/>
      <c r="D348" s="391"/>
      <c r="E348" s="391"/>
    </row>
    <row r="349" spans="1:5" s="98" customFormat="1" ht="15.75" customHeight="1">
      <c r="A349" s="413" t="s">
        <v>896</v>
      </c>
      <c r="B349" s="414"/>
      <c r="C349" s="414"/>
      <c r="D349" s="414"/>
      <c r="E349" s="414"/>
    </row>
    <row r="350" spans="1:5" s="98" customFormat="1" ht="14.25">
      <c r="A350" s="392"/>
      <c r="B350" s="393" t="s">
        <v>495</v>
      </c>
      <c r="C350" s="394">
        <v>578892</v>
      </c>
      <c r="D350" s="394">
        <v>0</v>
      </c>
      <c r="E350" s="394">
        <v>578892</v>
      </c>
    </row>
    <row r="351" spans="1:5" ht="15">
      <c r="A351" s="390"/>
      <c r="B351" s="395" t="s">
        <v>499</v>
      </c>
      <c r="C351" s="396">
        <v>578892</v>
      </c>
      <c r="D351" s="396">
        <v>0</v>
      </c>
      <c r="E351" s="396">
        <v>578892</v>
      </c>
    </row>
    <row r="352" spans="1:5" ht="12.75">
      <c r="A352" s="390"/>
      <c r="B352" s="390"/>
      <c r="C352" s="391"/>
      <c r="D352" s="391"/>
      <c r="E352" s="391"/>
    </row>
    <row r="353" spans="1:5" s="98" customFormat="1" ht="15.75" customHeight="1">
      <c r="A353" s="413" t="s">
        <v>547</v>
      </c>
      <c r="B353" s="414"/>
      <c r="C353" s="414"/>
      <c r="D353" s="414"/>
      <c r="E353" s="414"/>
    </row>
    <row r="354" spans="1:5" s="98" customFormat="1" ht="14.25">
      <c r="A354" s="392"/>
      <c r="B354" s="393" t="s">
        <v>495</v>
      </c>
      <c r="C354" s="394">
        <v>2190344</v>
      </c>
      <c r="D354" s="394">
        <v>0</v>
      </c>
      <c r="E354" s="394">
        <v>2190344</v>
      </c>
    </row>
    <row r="355" spans="1:5" ht="15">
      <c r="A355" s="390"/>
      <c r="B355" s="395" t="s">
        <v>496</v>
      </c>
      <c r="C355" s="396">
        <v>70323</v>
      </c>
      <c r="D355" s="396">
        <v>0</v>
      </c>
      <c r="E355" s="396">
        <v>70323</v>
      </c>
    </row>
    <row r="356" spans="1:5" ht="15">
      <c r="A356" s="390"/>
      <c r="B356" s="395" t="s">
        <v>497</v>
      </c>
      <c r="C356" s="396">
        <v>1449218</v>
      </c>
      <c r="D356" s="396">
        <v>25000</v>
      </c>
      <c r="E356" s="396">
        <v>1474218</v>
      </c>
    </row>
    <row r="357" spans="1:5" ht="15">
      <c r="A357" s="390"/>
      <c r="B357" s="395" t="s">
        <v>499</v>
      </c>
      <c r="C357" s="396">
        <v>670803</v>
      </c>
      <c r="D357" s="396">
        <v>-25000</v>
      </c>
      <c r="E357" s="396">
        <v>645803</v>
      </c>
    </row>
    <row r="358" spans="1:5" ht="12.75">
      <c r="A358" s="390"/>
      <c r="B358" s="390"/>
      <c r="C358" s="391"/>
      <c r="D358" s="391"/>
      <c r="E358" s="391"/>
    </row>
    <row r="359" spans="1:5" s="98" customFormat="1" ht="15.75" customHeight="1">
      <c r="A359" s="413" t="s">
        <v>548</v>
      </c>
      <c r="B359" s="414"/>
      <c r="C359" s="414"/>
      <c r="D359" s="414"/>
      <c r="E359" s="414"/>
    </row>
    <row r="360" spans="1:5" s="98" customFormat="1" ht="14.25">
      <c r="A360" s="392"/>
      <c r="B360" s="393" t="s">
        <v>495</v>
      </c>
      <c r="C360" s="394">
        <v>1255926</v>
      </c>
      <c r="D360" s="394">
        <v>0</v>
      </c>
      <c r="E360" s="394">
        <v>1255926</v>
      </c>
    </row>
    <row r="361" spans="1:5" ht="15">
      <c r="A361" s="390"/>
      <c r="B361" s="395" t="s">
        <v>497</v>
      </c>
      <c r="C361" s="396">
        <v>1255926</v>
      </c>
      <c r="D361" s="396">
        <v>0</v>
      </c>
      <c r="E361" s="396">
        <v>1255926</v>
      </c>
    </row>
    <row r="362" spans="1:5" ht="12.75">
      <c r="A362" s="390"/>
      <c r="B362" s="390"/>
      <c r="C362" s="391"/>
      <c r="D362" s="391"/>
      <c r="E362" s="391"/>
    </row>
    <row r="363" spans="1:5" s="98" customFormat="1" ht="15.75" customHeight="1">
      <c r="A363" s="413" t="s">
        <v>549</v>
      </c>
      <c r="B363" s="414"/>
      <c r="C363" s="414"/>
      <c r="D363" s="414"/>
      <c r="E363" s="414"/>
    </row>
    <row r="364" spans="1:5" s="98" customFormat="1" ht="14.25">
      <c r="A364" s="392"/>
      <c r="B364" s="393" t="s">
        <v>495</v>
      </c>
      <c r="C364" s="394">
        <v>456594</v>
      </c>
      <c r="D364" s="394">
        <v>0</v>
      </c>
      <c r="E364" s="394">
        <v>456594</v>
      </c>
    </row>
    <row r="365" spans="1:5" ht="15">
      <c r="A365" s="390"/>
      <c r="B365" s="395" t="s">
        <v>497</v>
      </c>
      <c r="C365" s="396">
        <v>454627</v>
      </c>
      <c r="D365" s="396">
        <v>0</v>
      </c>
      <c r="E365" s="396">
        <v>454627</v>
      </c>
    </row>
    <row r="366" spans="1:5" ht="15">
      <c r="A366" s="390"/>
      <c r="B366" s="395" t="s">
        <v>499</v>
      </c>
      <c r="C366" s="396">
        <v>1967</v>
      </c>
      <c r="D366" s="396">
        <v>0</v>
      </c>
      <c r="E366" s="396">
        <v>1967</v>
      </c>
    </row>
    <row r="367" spans="1:5" ht="12.75">
      <c r="A367" s="390"/>
      <c r="B367" s="390"/>
      <c r="C367" s="391"/>
      <c r="D367" s="391"/>
      <c r="E367" s="391"/>
    </row>
    <row r="368" spans="1:5" s="98" customFormat="1" ht="15.75" customHeight="1">
      <c r="A368" s="413" t="s">
        <v>550</v>
      </c>
      <c r="B368" s="414"/>
      <c r="C368" s="414"/>
      <c r="D368" s="414"/>
      <c r="E368" s="414"/>
    </row>
    <row r="369" spans="1:5" s="98" customFormat="1" ht="14.25">
      <c r="A369" s="392"/>
      <c r="B369" s="393" t="s">
        <v>495</v>
      </c>
      <c r="C369" s="394">
        <v>667774</v>
      </c>
      <c r="D369" s="394">
        <v>0</v>
      </c>
      <c r="E369" s="394">
        <v>667774</v>
      </c>
    </row>
    <row r="370" spans="1:5" ht="15">
      <c r="A370" s="390"/>
      <c r="B370" s="395" t="s">
        <v>497</v>
      </c>
      <c r="C370" s="396">
        <v>460546</v>
      </c>
      <c r="D370" s="396">
        <v>-3</v>
      </c>
      <c r="E370" s="396">
        <v>460543</v>
      </c>
    </row>
    <row r="371" spans="1:5" ht="15">
      <c r="A371" s="390"/>
      <c r="B371" s="395" t="s">
        <v>499</v>
      </c>
      <c r="C371" s="396">
        <v>207228</v>
      </c>
      <c r="D371" s="396">
        <v>3</v>
      </c>
      <c r="E371" s="396">
        <v>207231</v>
      </c>
    </row>
    <row r="372" spans="1:5" ht="12.75">
      <c r="A372" s="390"/>
      <c r="B372" s="390"/>
      <c r="C372" s="391"/>
      <c r="D372" s="391"/>
      <c r="E372" s="391"/>
    </row>
    <row r="373" spans="1:5" s="98" customFormat="1" ht="31.5" customHeight="1">
      <c r="A373" s="413" t="s">
        <v>870</v>
      </c>
      <c r="B373" s="414"/>
      <c r="C373" s="414"/>
      <c r="D373" s="414"/>
      <c r="E373" s="414"/>
    </row>
    <row r="374" spans="1:5" s="98" customFormat="1" ht="14.25">
      <c r="A374" s="392"/>
      <c r="B374" s="393" t="s">
        <v>495</v>
      </c>
      <c r="C374" s="394">
        <v>568415</v>
      </c>
      <c r="D374" s="394">
        <v>0</v>
      </c>
      <c r="E374" s="394">
        <v>568415</v>
      </c>
    </row>
    <row r="375" spans="1:5" ht="15">
      <c r="A375" s="390"/>
      <c r="B375" s="395" t="s">
        <v>499</v>
      </c>
      <c r="C375" s="396">
        <v>568415</v>
      </c>
      <c r="D375" s="396">
        <v>0</v>
      </c>
      <c r="E375" s="396">
        <v>568415</v>
      </c>
    </row>
    <row r="376" spans="1:5" ht="12.75">
      <c r="A376" s="390"/>
      <c r="B376" s="390"/>
      <c r="C376" s="391"/>
      <c r="D376" s="391"/>
      <c r="E376" s="391"/>
    </row>
    <row r="377" spans="1:5" s="98" customFormat="1" ht="15.75" customHeight="1">
      <c r="A377" s="413" t="s">
        <v>551</v>
      </c>
      <c r="B377" s="414"/>
      <c r="C377" s="414"/>
      <c r="D377" s="414"/>
      <c r="E377" s="414"/>
    </row>
    <row r="378" spans="1:5" s="98" customFormat="1" ht="14.25">
      <c r="A378" s="392"/>
      <c r="B378" s="393" t="s">
        <v>495</v>
      </c>
      <c r="C378" s="394">
        <v>966421</v>
      </c>
      <c r="D378" s="394">
        <v>2000</v>
      </c>
      <c r="E378" s="394">
        <v>968421</v>
      </c>
    </row>
    <row r="379" spans="1:5" ht="15">
      <c r="A379" s="390"/>
      <c r="B379" s="395" t="s">
        <v>496</v>
      </c>
      <c r="C379" s="396">
        <v>818752</v>
      </c>
      <c r="D379" s="396">
        <v>-6713</v>
      </c>
      <c r="E379" s="396">
        <v>812039</v>
      </c>
    </row>
    <row r="380" spans="1:5" ht="15">
      <c r="A380" s="390"/>
      <c r="B380" s="395" t="s">
        <v>497</v>
      </c>
      <c r="C380" s="396">
        <v>95045</v>
      </c>
      <c r="D380" s="396">
        <v>2000</v>
      </c>
      <c r="E380" s="396">
        <v>97045</v>
      </c>
    </row>
    <row r="381" spans="1:5" ht="15">
      <c r="A381" s="390"/>
      <c r="B381" s="395" t="s">
        <v>499</v>
      </c>
      <c r="C381" s="396">
        <v>52624</v>
      </c>
      <c r="D381" s="396">
        <v>6713</v>
      </c>
      <c r="E381" s="396">
        <v>59337</v>
      </c>
    </row>
    <row r="382" spans="1:5" ht="12.75">
      <c r="A382" s="390"/>
      <c r="B382" s="390"/>
      <c r="C382" s="391"/>
      <c r="D382" s="391"/>
      <c r="E382" s="391"/>
    </row>
    <row r="383" spans="1:5" s="98" customFormat="1" ht="15.75" customHeight="1">
      <c r="A383" s="413" t="s">
        <v>824</v>
      </c>
      <c r="B383" s="414"/>
      <c r="C383" s="414"/>
      <c r="D383" s="414"/>
      <c r="E383" s="414"/>
    </row>
    <row r="384" spans="1:5" s="98" customFormat="1" ht="14.25">
      <c r="A384" s="392"/>
      <c r="B384" s="393" t="s">
        <v>495</v>
      </c>
      <c r="C384" s="394">
        <v>1458466</v>
      </c>
      <c r="D384" s="394">
        <v>0</v>
      </c>
      <c r="E384" s="394">
        <v>1458466</v>
      </c>
    </row>
    <row r="385" spans="1:5" ht="15">
      <c r="A385" s="390"/>
      <c r="B385" s="395" t="s">
        <v>497</v>
      </c>
      <c r="C385" s="396">
        <v>1086256</v>
      </c>
      <c r="D385" s="396">
        <v>0</v>
      </c>
      <c r="E385" s="396">
        <v>1086256</v>
      </c>
    </row>
    <row r="386" spans="1:5" ht="15">
      <c r="A386" s="390"/>
      <c r="B386" s="395" t="s">
        <v>498</v>
      </c>
      <c r="C386" s="396">
        <v>152044</v>
      </c>
      <c r="D386" s="396">
        <v>0</v>
      </c>
      <c r="E386" s="396">
        <v>152044</v>
      </c>
    </row>
    <row r="387" spans="1:5" ht="15">
      <c r="A387" s="390"/>
      <c r="B387" s="395" t="s">
        <v>499</v>
      </c>
      <c r="C387" s="396">
        <v>220166</v>
      </c>
      <c r="D387" s="396">
        <v>0</v>
      </c>
      <c r="E387" s="396">
        <v>220166</v>
      </c>
    </row>
    <row r="388" spans="1:5" ht="12.75">
      <c r="A388" s="390"/>
      <c r="B388" s="390"/>
      <c r="C388" s="391"/>
      <c r="D388" s="391"/>
      <c r="E388" s="391"/>
    </row>
    <row r="389" spans="1:5" s="98" customFormat="1" ht="15.75" customHeight="1">
      <c r="A389" s="413" t="s">
        <v>552</v>
      </c>
      <c r="B389" s="414"/>
      <c r="C389" s="414"/>
      <c r="D389" s="414"/>
      <c r="E389" s="414"/>
    </row>
    <row r="390" spans="1:5" s="98" customFormat="1" ht="14.25">
      <c r="A390" s="392"/>
      <c r="B390" s="393" t="s">
        <v>495</v>
      </c>
      <c r="C390" s="394">
        <v>69770</v>
      </c>
      <c r="D390" s="394">
        <v>0</v>
      </c>
      <c r="E390" s="394">
        <v>69770</v>
      </c>
    </row>
    <row r="391" spans="1:5" ht="15">
      <c r="A391" s="390"/>
      <c r="B391" s="395" t="s">
        <v>496</v>
      </c>
      <c r="C391" s="396">
        <v>1920</v>
      </c>
      <c r="D391" s="396">
        <v>0</v>
      </c>
      <c r="E391" s="396">
        <v>1920</v>
      </c>
    </row>
    <row r="392" spans="1:5" ht="15">
      <c r="A392" s="390"/>
      <c r="B392" s="395" t="s">
        <v>497</v>
      </c>
      <c r="C392" s="396">
        <v>28850</v>
      </c>
      <c r="D392" s="396">
        <v>0</v>
      </c>
      <c r="E392" s="396">
        <v>28850</v>
      </c>
    </row>
    <row r="393" spans="1:5" ht="15">
      <c r="A393" s="390"/>
      <c r="B393" s="395" t="s">
        <v>500</v>
      </c>
      <c r="C393" s="396">
        <v>39000</v>
      </c>
      <c r="D393" s="396">
        <v>0</v>
      </c>
      <c r="E393" s="396">
        <v>39000</v>
      </c>
    </row>
    <row r="394" spans="1:5" ht="24" customHeight="1">
      <c r="A394" s="390"/>
      <c r="B394" s="390"/>
      <c r="C394" s="391"/>
      <c r="D394" s="391"/>
      <c r="E394" s="391"/>
    </row>
    <row r="395" spans="1:5" ht="15.75" customHeight="1">
      <c r="A395" s="415" t="s">
        <v>851</v>
      </c>
      <c r="B395" s="416"/>
      <c r="C395" s="416"/>
      <c r="D395" s="416"/>
      <c r="E395" s="416"/>
    </row>
    <row r="396" spans="1:5" ht="14.25">
      <c r="A396" s="386"/>
      <c r="B396" s="387" t="s">
        <v>495</v>
      </c>
      <c r="C396" s="388">
        <v>3491656</v>
      </c>
      <c r="D396" s="388">
        <v>3500</v>
      </c>
      <c r="E396" s="388">
        <v>3495156</v>
      </c>
    </row>
    <row r="397" spans="1:5" ht="14.25">
      <c r="A397" s="386"/>
      <c r="B397" s="387" t="s">
        <v>496</v>
      </c>
      <c r="C397" s="388">
        <v>1586635</v>
      </c>
      <c r="D397" s="388">
        <v>0</v>
      </c>
      <c r="E397" s="388">
        <v>1586635</v>
      </c>
    </row>
    <row r="398" spans="1:5" ht="14.25">
      <c r="A398" s="386"/>
      <c r="B398" s="387" t="s">
        <v>497</v>
      </c>
      <c r="C398" s="388">
        <v>1369501</v>
      </c>
      <c r="D398" s="388">
        <v>3500</v>
      </c>
      <c r="E398" s="388">
        <v>1373001</v>
      </c>
    </row>
    <row r="399" spans="1:5" ht="14.25">
      <c r="A399" s="386"/>
      <c r="B399" s="387" t="s">
        <v>498</v>
      </c>
      <c r="C399" s="388">
        <v>497297</v>
      </c>
      <c r="D399" s="388">
        <v>0</v>
      </c>
      <c r="E399" s="388">
        <v>497297</v>
      </c>
    </row>
    <row r="400" spans="1:5" ht="14.25">
      <c r="A400" s="386"/>
      <c r="B400" s="387" t="s">
        <v>499</v>
      </c>
      <c r="C400" s="388">
        <v>38223</v>
      </c>
      <c r="D400" s="388">
        <v>0</v>
      </c>
      <c r="E400" s="388">
        <v>38223</v>
      </c>
    </row>
    <row r="401" spans="1:5" ht="12.75">
      <c r="A401" s="390"/>
      <c r="B401" s="390"/>
      <c r="C401" s="391"/>
      <c r="D401" s="391"/>
      <c r="E401" s="391"/>
    </row>
    <row r="402" spans="1:5" s="98" customFormat="1" ht="15.75" customHeight="1">
      <c r="A402" s="413" t="s">
        <v>553</v>
      </c>
      <c r="B402" s="414"/>
      <c r="C402" s="414"/>
      <c r="D402" s="414"/>
      <c r="E402" s="414"/>
    </row>
    <row r="403" spans="1:5" s="98" customFormat="1" ht="14.25">
      <c r="A403" s="392"/>
      <c r="B403" s="393" t="s">
        <v>495</v>
      </c>
      <c r="C403" s="394">
        <v>528703</v>
      </c>
      <c r="D403" s="394">
        <v>0</v>
      </c>
      <c r="E403" s="394">
        <v>528703</v>
      </c>
    </row>
    <row r="404" spans="1:5" ht="15">
      <c r="A404" s="390"/>
      <c r="B404" s="395" t="s">
        <v>496</v>
      </c>
      <c r="C404" s="396">
        <v>308363</v>
      </c>
      <c r="D404" s="396">
        <v>0</v>
      </c>
      <c r="E404" s="396">
        <v>308363</v>
      </c>
    </row>
    <row r="405" spans="1:5" ht="15">
      <c r="A405" s="390"/>
      <c r="B405" s="395" t="s">
        <v>497</v>
      </c>
      <c r="C405" s="396">
        <v>198090</v>
      </c>
      <c r="D405" s="396">
        <v>0</v>
      </c>
      <c r="E405" s="396">
        <v>198090</v>
      </c>
    </row>
    <row r="406" spans="1:5" ht="15">
      <c r="A406" s="390"/>
      <c r="B406" s="395" t="s">
        <v>499</v>
      </c>
      <c r="C406" s="396">
        <v>22250</v>
      </c>
      <c r="D406" s="396">
        <v>0</v>
      </c>
      <c r="E406" s="396">
        <v>22250</v>
      </c>
    </row>
    <row r="407" spans="1:5" ht="12.75">
      <c r="A407" s="390"/>
      <c r="B407" s="390"/>
      <c r="C407" s="391"/>
      <c r="D407" s="391"/>
      <c r="E407" s="391"/>
    </row>
    <row r="408" spans="1:5" s="98" customFormat="1" ht="15.75" customHeight="1">
      <c r="A408" s="413" t="s">
        <v>554</v>
      </c>
      <c r="B408" s="414"/>
      <c r="C408" s="414"/>
      <c r="D408" s="414"/>
      <c r="E408" s="414"/>
    </row>
    <row r="409" spans="1:5" s="98" customFormat="1" ht="14.25">
      <c r="A409" s="392"/>
      <c r="B409" s="393" t="s">
        <v>495</v>
      </c>
      <c r="C409" s="394">
        <v>606300</v>
      </c>
      <c r="D409" s="394">
        <v>3500</v>
      </c>
      <c r="E409" s="394">
        <v>609800</v>
      </c>
    </row>
    <row r="410" spans="1:5" ht="15">
      <c r="A410" s="390"/>
      <c r="B410" s="395" t="s">
        <v>497</v>
      </c>
      <c r="C410" s="396">
        <v>109003</v>
      </c>
      <c r="D410" s="396">
        <v>3500</v>
      </c>
      <c r="E410" s="396">
        <v>112503</v>
      </c>
    </row>
    <row r="411" spans="1:5" ht="15">
      <c r="A411" s="390"/>
      <c r="B411" s="395" t="s">
        <v>498</v>
      </c>
      <c r="C411" s="396">
        <v>497297</v>
      </c>
      <c r="D411" s="396">
        <v>0</v>
      </c>
      <c r="E411" s="396">
        <v>497297</v>
      </c>
    </row>
    <row r="412" spans="1:5" ht="12.75">
      <c r="A412" s="390"/>
      <c r="B412" s="390"/>
      <c r="C412" s="391"/>
      <c r="D412" s="391"/>
      <c r="E412" s="391"/>
    </row>
    <row r="413" spans="1:5" s="98" customFormat="1" ht="15.75" customHeight="1">
      <c r="A413" s="413" t="s">
        <v>555</v>
      </c>
      <c r="B413" s="414"/>
      <c r="C413" s="414"/>
      <c r="D413" s="414"/>
      <c r="E413" s="414"/>
    </row>
    <row r="414" spans="1:5" s="98" customFormat="1" ht="14.25">
      <c r="A414" s="392"/>
      <c r="B414" s="393" t="s">
        <v>495</v>
      </c>
      <c r="C414" s="394">
        <v>2356653</v>
      </c>
      <c r="D414" s="394">
        <v>0</v>
      </c>
      <c r="E414" s="394">
        <v>2356653</v>
      </c>
    </row>
    <row r="415" spans="1:5" ht="15">
      <c r="A415" s="390"/>
      <c r="B415" s="395" t="s">
        <v>496</v>
      </c>
      <c r="C415" s="396">
        <v>1278272</v>
      </c>
      <c r="D415" s="396">
        <v>0</v>
      </c>
      <c r="E415" s="396">
        <v>1278272</v>
      </c>
    </row>
    <row r="416" spans="1:5" ht="15">
      <c r="A416" s="390"/>
      <c r="B416" s="395" t="s">
        <v>497</v>
      </c>
      <c r="C416" s="396">
        <v>1062408</v>
      </c>
      <c r="D416" s="396">
        <v>0</v>
      </c>
      <c r="E416" s="396">
        <v>1062408</v>
      </c>
    </row>
    <row r="417" spans="1:5" ht="15">
      <c r="A417" s="390"/>
      <c r="B417" s="395" t="s">
        <v>499</v>
      </c>
      <c r="C417" s="396">
        <v>15973</v>
      </c>
      <c r="D417" s="396">
        <v>0</v>
      </c>
      <c r="E417" s="396">
        <v>15973</v>
      </c>
    </row>
    <row r="418" spans="1:5" ht="24" customHeight="1">
      <c r="A418" s="390"/>
      <c r="B418" s="390"/>
      <c r="C418" s="391"/>
      <c r="D418" s="391"/>
      <c r="E418" s="391"/>
    </row>
    <row r="419" spans="1:5" ht="15.75" customHeight="1">
      <c r="A419" s="415" t="s">
        <v>871</v>
      </c>
      <c r="B419" s="416"/>
      <c r="C419" s="416"/>
      <c r="D419" s="416"/>
      <c r="E419" s="416"/>
    </row>
    <row r="420" spans="1:5" ht="14.25">
      <c r="A420" s="386"/>
      <c r="B420" s="387" t="s">
        <v>495</v>
      </c>
      <c r="C420" s="388">
        <v>750663</v>
      </c>
      <c r="D420" s="388">
        <v>0</v>
      </c>
      <c r="E420" s="388">
        <v>750663</v>
      </c>
    </row>
    <row r="421" spans="1:5" ht="14.25">
      <c r="A421" s="386"/>
      <c r="B421" s="387" t="s">
        <v>496</v>
      </c>
      <c r="C421" s="388">
        <v>568751</v>
      </c>
      <c r="D421" s="388">
        <v>0</v>
      </c>
      <c r="E421" s="388">
        <v>568751</v>
      </c>
    </row>
    <row r="422" spans="1:5" ht="14.25">
      <c r="A422" s="386"/>
      <c r="B422" s="387" t="s">
        <v>497</v>
      </c>
      <c r="C422" s="388">
        <v>130412</v>
      </c>
      <c r="D422" s="388">
        <v>0</v>
      </c>
      <c r="E422" s="388">
        <v>130412</v>
      </c>
    </row>
    <row r="423" spans="1:5" ht="14.25">
      <c r="A423" s="386"/>
      <c r="B423" s="387" t="s">
        <v>499</v>
      </c>
      <c r="C423" s="388">
        <v>51500</v>
      </c>
      <c r="D423" s="388">
        <v>0</v>
      </c>
      <c r="E423" s="388">
        <v>51500</v>
      </c>
    </row>
    <row r="424" spans="1:5" s="98" customFormat="1" ht="12.75">
      <c r="A424" s="390"/>
      <c r="B424" s="390"/>
      <c r="C424" s="391"/>
      <c r="D424" s="391"/>
      <c r="E424" s="391"/>
    </row>
    <row r="425" spans="1:5" ht="15.75" customHeight="1">
      <c r="A425" s="413" t="s">
        <v>872</v>
      </c>
      <c r="B425" s="414"/>
      <c r="C425" s="414"/>
      <c r="D425" s="414"/>
      <c r="E425" s="414"/>
    </row>
    <row r="426" spans="1:5" s="98" customFormat="1" ht="14.25">
      <c r="A426" s="392"/>
      <c r="B426" s="393" t="s">
        <v>495</v>
      </c>
      <c r="C426" s="394">
        <v>737610</v>
      </c>
      <c r="D426" s="394">
        <v>0</v>
      </c>
      <c r="E426" s="394">
        <v>737610</v>
      </c>
    </row>
    <row r="427" spans="1:5" ht="15">
      <c r="A427" s="390"/>
      <c r="B427" s="395" t="s">
        <v>496</v>
      </c>
      <c r="C427" s="396">
        <v>568751</v>
      </c>
      <c r="D427" s="396">
        <v>0</v>
      </c>
      <c r="E427" s="396">
        <v>568751</v>
      </c>
    </row>
    <row r="428" spans="1:5" ht="15">
      <c r="A428" s="390"/>
      <c r="B428" s="395" t="s">
        <v>497</v>
      </c>
      <c r="C428" s="396">
        <v>117359</v>
      </c>
      <c r="D428" s="396">
        <v>0</v>
      </c>
      <c r="E428" s="396">
        <v>117359</v>
      </c>
    </row>
    <row r="429" spans="1:5" ht="15">
      <c r="A429" s="390"/>
      <c r="B429" s="395" t="s">
        <v>499</v>
      </c>
      <c r="C429" s="396">
        <v>51500</v>
      </c>
      <c r="D429" s="396">
        <v>0</v>
      </c>
      <c r="E429" s="396">
        <v>51500</v>
      </c>
    </row>
    <row r="430" spans="1:5" ht="12.75">
      <c r="A430" s="390"/>
      <c r="B430" s="390"/>
      <c r="C430" s="391"/>
      <c r="D430" s="391"/>
      <c r="E430" s="391"/>
    </row>
    <row r="431" spans="1:5" ht="31.5" customHeight="1">
      <c r="A431" s="413" t="s">
        <v>556</v>
      </c>
      <c r="B431" s="414"/>
      <c r="C431" s="414"/>
      <c r="D431" s="414"/>
      <c r="E431" s="414"/>
    </row>
    <row r="432" spans="1:5" s="98" customFormat="1" ht="14.25">
      <c r="A432" s="392"/>
      <c r="B432" s="393" t="s">
        <v>495</v>
      </c>
      <c r="C432" s="394">
        <v>13053</v>
      </c>
      <c r="D432" s="394">
        <v>0</v>
      </c>
      <c r="E432" s="394">
        <v>13053</v>
      </c>
    </row>
    <row r="433" spans="1:5" ht="15">
      <c r="A433" s="390"/>
      <c r="B433" s="395" t="s">
        <v>497</v>
      </c>
      <c r="C433" s="396">
        <v>13053</v>
      </c>
      <c r="D433" s="396">
        <v>0</v>
      </c>
      <c r="E433" s="396">
        <v>13053</v>
      </c>
    </row>
    <row r="434" spans="1:5" ht="24" customHeight="1">
      <c r="A434" s="390"/>
      <c r="B434" s="390"/>
      <c r="C434" s="391"/>
      <c r="D434" s="391"/>
      <c r="E434" s="391"/>
    </row>
    <row r="435" spans="1:5" ht="31.5" customHeight="1">
      <c r="A435" s="415" t="s">
        <v>852</v>
      </c>
      <c r="B435" s="416"/>
      <c r="C435" s="416"/>
      <c r="D435" s="416"/>
      <c r="E435" s="416"/>
    </row>
    <row r="436" spans="1:5" ht="14.25">
      <c r="A436" s="386"/>
      <c r="B436" s="387" t="s">
        <v>495</v>
      </c>
      <c r="C436" s="388">
        <v>635055</v>
      </c>
      <c r="D436" s="388">
        <v>0</v>
      </c>
      <c r="E436" s="388">
        <v>635055</v>
      </c>
    </row>
    <row r="437" spans="1:5" ht="14.25">
      <c r="A437" s="386"/>
      <c r="B437" s="387" t="s">
        <v>496</v>
      </c>
      <c r="C437" s="388">
        <v>428548</v>
      </c>
      <c r="D437" s="388">
        <v>0</v>
      </c>
      <c r="E437" s="388">
        <v>428548</v>
      </c>
    </row>
    <row r="438" spans="1:5" ht="14.25">
      <c r="A438" s="386"/>
      <c r="B438" s="387" t="s">
        <v>497</v>
      </c>
      <c r="C438" s="388">
        <v>87949</v>
      </c>
      <c r="D438" s="388">
        <v>0</v>
      </c>
      <c r="E438" s="388">
        <v>87949</v>
      </c>
    </row>
    <row r="439" spans="1:5" s="98" customFormat="1" ht="14.25">
      <c r="A439" s="386"/>
      <c r="B439" s="387" t="s">
        <v>499</v>
      </c>
      <c r="C439" s="388">
        <v>118558</v>
      </c>
      <c r="D439" s="388">
        <v>0</v>
      </c>
      <c r="E439" s="388">
        <v>118558</v>
      </c>
    </row>
    <row r="440" spans="1:5" ht="12.75">
      <c r="A440" s="390"/>
      <c r="B440" s="390"/>
      <c r="C440" s="391"/>
      <c r="D440" s="391"/>
      <c r="E440" s="391"/>
    </row>
    <row r="441" spans="1:5" ht="15.75" customHeight="1">
      <c r="A441" s="413" t="s">
        <v>557</v>
      </c>
      <c r="B441" s="414"/>
      <c r="C441" s="414"/>
      <c r="D441" s="414"/>
      <c r="E441" s="414"/>
    </row>
    <row r="442" spans="1:5" s="98" customFormat="1" ht="14.25">
      <c r="A442" s="392"/>
      <c r="B442" s="393" t="s">
        <v>495</v>
      </c>
      <c r="C442" s="394">
        <v>635055</v>
      </c>
      <c r="D442" s="394">
        <v>0</v>
      </c>
      <c r="E442" s="394">
        <v>635055</v>
      </c>
    </row>
    <row r="443" spans="1:5" ht="15">
      <c r="A443" s="390"/>
      <c r="B443" s="395" t="s">
        <v>496</v>
      </c>
      <c r="C443" s="396">
        <v>428548</v>
      </c>
      <c r="D443" s="396">
        <v>0</v>
      </c>
      <c r="E443" s="396">
        <v>428548</v>
      </c>
    </row>
    <row r="444" spans="1:5" ht="15">
      <c r="A444" s="390"/>
      <c r="B444" s="395" t="s">
        <v>497</v>
      </c>
      <c r="C444" s="396">
        <v>87949</v>
      </c>
      <c r="D444" s="396">
        <v>0</v>
      </c>
      <c r="E444" s="396">
        <v>87949</v>
      </c>
    </row>
    <row r="445" spans="1:5" s="98" customFormat="1" ht="15">
      <c r="A445" s="390"/>
      <c r="B445" s="395" t="s">
        <v>499</v>
      </c>
      <c r="C445" s="396">
        <v>118558</v>
      </c>
      <c r="D445" s="396">
        <v>0</v>
      </c>
      <c r="E445" s="396">
        <v>118558</v>
      </c>
    </row>
    <row r="446" spans="1:5" ht="25.5" customHeight="1">
      <c r="A446" s="390"/>
      <c r="B446" s="390"/>
      <c r="C446" s="391"/>
      <c r="D446" s="391"/>
      <c r="E446" s="391"/>
    </row>
    <row r="447" spans="1:5" ht="15.75" customHeight="1">
      <c r="A447" s="415" t="s">
        <v>853</v>
      </c>
      <c r="B447" s="416"/>
      <c r="C447" s="416"/>
      <c r="D447" s="416"/>
      <c r="E447" s="416"/>
    </row>
    <row r="448" spans="1:5" ht="14.25">
      <c r="A448" s="386"/>
      <c r="B448" s="387" t="s">
        <v>495</v>
      </c>
      <c r="C448" s="388">
        <v>2740162</v>
      </c>
      <c r="D448" s="388">
        <v>0</v>
      </c>
      <c r="E448" s="388">
        <v>2740162</v>
      </c>
    </row>
    <row r="449" spans="1:5" ht="14.25">
      <c r="A449" s="386"/>
      <c r="B449" s="387" t="s">
        <v>496</v>
      </c>
      <c r="C449" s="388">
        <v>1731549</v>
      </c>
      <c r="D449" s="388">
        <v>-8651</v>
      </c>
      <c r="E449" s="388">
        <v>1722898</v>
      </c>
    </row>
    <row r="450" spans="1:5" ht="14.25">
      <c r="A450" s="386"/>
      <c r="B450" s="387" t="s">
        <v>497</v>
      </c>
      <c r="C450" s="388">
        <v>832551</v>
      </c>
      <c r="D450" s="388">
        <v>-14649</v>
      </c>
      <c r="E450" s="388">
        <v>817902</v>
      </c>
    </row>
    <row r="451" spans="1:5" ht="14.25">
      <c r="A451" s="386"/>
      <c r="B451" s="387" t="s">
        <v>498</v>
      </c>
      <c r="C451" s="388">
        <v>11400</v>
      </c>
      <c r="D451" s="388">
        <v>0</v>
      </c>
      <c r="E451" s="388">
        <v>11400</v>
      </c>
    </row>
    <row r="452" spans="1:5" s="98" customFormat="1" ht="14.25">
      <c r="A452" s="386"/>
      <c r="B452" s="387" t="s">
        <v>499</v>
      </c>
      <c r="C452" s="388">
        <v>147384</v>
      </c>
      <c r="D452" s="388">
        <v>23300</v>
      </c>
      <c r="E452" s="388">
        <v>170684</v>
      </c>
    </row>
    <row r="453" spans="1:5" ht="14.25">
      <c r="A453" s="386"/>
      <c r="B453" s="387" t="s">
        <v>500</v>
      </c>
      <c r="C453" s="388">
        <v>7000</v>
      </c>
      <c r="D453" s="388">
        <v>0</v>
      </c>
      <c r="E453" s="388">
        <v>7000</v>
      </c>
    </row>
    <row r="454" spans="1:5" ht="28.5">
      <c r="A454" s="386"/>
      <c r="B454" s="387" t="s">
        <v>501</v>
      </c>
      <c r="C454" s="388">
        <v>10278</v>
      </c>
      <c r="D454" s="388">
        <v>0</v>
      </c>
      <c r="E454" s="388">
        <v>10278</v>
      </c>
    </row>
    <row r="455" spans="1:5" ht="12.75">
      <c r="A455" s="390"/>
      <c r="B455" s="390"/>
      <c r="C455" s="391"/>
      <c r="D455" s="391"/>
      <c r="E455" s="391"/>
    </row>
    <row r="456" spans="1:5" ht="15.75" customHeight="1">
      <c r="A456" s="413" t="s">
        <v>558</v>
      </c>
      <c r="B456" s="414"/>
      <c r="C456" s="414"/>
      <c r="D456" s="414"/>
      <c r="E456" s="414"/>
    </row>
    <row r="457" spans="1:5" s="98" customFormat="1" ht="14.25">
      <c r="A457" s="392"/>
      <c r="B457" s="393" t="s">
        <v>495</v>
      </c>
      <c r="C457" s="394">
        <v>1509808</v>
      </c>
      <c r="D457" s="394">
        <v>0</v>
      </c>
      <c r="E457" s="394">
        <v>1509808</v>
      </c>
    </row>
    <row r="458" spans="1:5" ht="15">
      <c r="A458" s="390"/>
      <c r="B458" s="395" t="s">
        <v>496</v>
      </c>
      <c r="C458" s="396">
        <v>935754</v>
      </c>
      <c r="D458" s="396">
        <v>0</v>
      </c>
      <c r="E458" s="396">
        <v>935754</v>
      </c>
    </row>
    <row r="459" spans="1:5" ht="15">
      <c r="A459" s="390"/>
      <c r="B459" s="395" t="s">
        <v>497</v>
      </c>
      <c r="C459" s="396">
        <v>490991</v>
      </c>
      <c r="D459" s="396">
        <v>-23000</v>
      </c>
      <c r="E459" s="396">
        <v>467991</v>
      </c>
    </row>
    <row r="460" spans="1:5" ht="15">
      <c r="A460" s="390"/>
      <c r="B460" s="395" t="s">
        <v>499</v>
      </c>
      <c r="C460" s="396">
        <v>83063</v>
      </c>
      <c r="D460" s="396">
        <v>23000</v>
      </c>
      <c r="E460" s="396">
        <v>106063</v>
      </c>
    </row>
    <row r="461" spans="1:5" ht="12.75">
      <c r="A461" s="390"/>
      <c r="B461" s="390"/>
      <c r="C461" s="391"/>
      <c r="D461" s="391"/>
      <c r="E461" s="391"/>
    </row>
    <row r="462" spans="1:5" ht="15.75" customHeight="1">
      <c r="A462" s="413" t="s">
        <v>559</v>
      </c>
      <c r="B462" s="414"/>
      <c r="C462" s="414"/>
      <c r="D462" s="414"/>
      <c r="E462" s="414"/>
    </row>
    <row r="463" spans="1:5" s="98" customFormat="1" ht="14.25">
      <c r="A463" s="392"/>
      <c r="B463" s="393" t="s">
        <v>495</v>
      </c>
      <c r="C463" s="394">
        <v>447501</v>
      </c>
      <c r="D463" s="394">
        <v>0</v>
      </c>
      <c r="E463" s="394">
        <v>447501</v>
      </c>
    </row>
    <row r="464" spans="1:5" ht="15">
      <c r="A464" s="390"/>
      <c r="B464" s="395" t="s">
        <v>496</v>
      </c>
      <c r="C464" s="396">
        <v>97388</v>
      </c>
      <c r="D464" s="396">
        <v>0</v>
      </c>
      <c r="E464" s="396">
        <v>97388</v>
      </c>
    </row>
    <row r="465" spans="1:5" ht="15">
      <c r="A465" s="390"/>
      <c r="B465" s="395" t="s">
        <v>497</v>
      </c>
      <c r="C465" s="396">
        <v>291168</v>
      </c>
      <c r="D465" s="396">
        <v>0</v>
      </c>
      <c r="E465" s="396">
        <v>291168</v>
      </c>
    </row>
    <row r="466" spans="1:5" ht="15">
      <c r="A466" s="390"/>
      <c r="B466" s="395" t="s">
        <v>499</v>
      </c>
      <c r="C466" s="396">
        <v>51945</v>
      </c>
      <c r="D466" s="396">
        <v>0</v>
      </c>
      <c r="E466" s="396">
        <v>51945</v>
      </c>
    </row>
    <row r="467" spans="1:5" ht="15">
      <c r="A467" s="390"/>
      <c r="B467" s="395" t="s">
        <v>500</v>
      </c>
      <c r="C467" s="396">
        <v>7000</v>
      </c>
      <c r="D467" s="396">
        <v>0</v>
      </c>
      <c r="E467" s="396">
        <v>7000</v>
      </c>
    </row>
    <row r="468" spans="1:5" s="98" customFormat="1" ht="12.75">
      <c r="A468" s="390"/>
      <c r="B468" s="390"/>
      <c r="C468" s="391"/>
      <c r="D468" s="391"/>
      <c r="E468" s="391"/>
    </row>
    <row r="469" spans="1:5" ht="15.75" customHeight="1">
      <c r="A469" s="413" t="s">
        <v>560</v>
      </c>
      <c r="B469" s="414"/>
      <c r="C469" s="414"/>
      <c r="D469" s="414"/>
      <c r="E469" s="414"/>
    </row>
    <row r="470" spans="1:5" s="98" customFormat="1" ht="14.25">
      <c r="A470" s="392"/>
      <c r="B470" s="393" t="s">
        <v>495</v>
      </c>
      <c r="C470" s="394">
        <v>92715</v>
      </c>
      <c r="D470" s="394">
        <v>0</v>
      </c>
      <c r="E470" s="394">
        <v>92715</v>
      </c>
    </row>
    <row r="471" spans="1:5" ht="15">
      <c r="A471" s="390"/>
      <c r="B471" s="395" t="s">
        <v>496</v>
      </c>
      <c r="C471" s="396">
        <v>92215</v>
      </c>
      <c r="D471" s="396">
        <v>0</v>
      </c>
      <c r="E471" s="396">
        <v>92215</v>
      </c>
    </row>
    <row r="472" spans="1:5" ht="15">
      <c r="A472" s="390"/>
      <c r="B472" s="395" t="s">
        <v>497</v>
      </c>
      <c r="C472" s="396">
        <v>500</v>
      </c>
      <c r="D472" s="396">
        <v>0</v>
      </c>
      <c r="E472" s="396">
        <v>500</v>
      </c>
    </row>
    <row r="473" spans="1:5" ht="12.75">
      <c r="A473" s="390"/>
      <c r="B473" s="390"/>
      <c r="C473" s="391"/>
      <c r="D473" s="391"/>
      <c r="E473" s="391"/>
    </row>
    <row r="474" spans="1:5" ht="15.75" customHeight="1">
      <c r="A474" s="413" t="s">
        <v>561</v>
      </c>
      <c r="B474" s="414"/>
      <c r="C474" s="414"/>
      <c r="D474" s="414"/>
      <c r="E474" s="414"/>
    </row>
    <row r="475" spans="1:5" s="98" customFormat="1" ht="14.25">
      <c r="A475" s="392"/>
      <c r="B475" s="393" t="s">
        <v>495</v>
      </c>
      <c r="C475" s="394">
        <v>79974</v>
      </c>
      <c r="D475" s="394">
        <v>0</v>
      </c>
      <c r="E475" s="394">
        <v>79974</v>
      </c>
    </row>
    <row r="476" spans="1:5" ht="15">
      <c r="A476" s="390"/>
      <c r="B476" s="395" t="s">
        <v>496</v>
      </c>
      <c r="C476" s="396">
        <v>75254</v>
      </c>
      <c r="D476" s="396">
        <v>0</v>
      </c>
      <c r="E476" s="396">
        <v>75254</v>
      </c>
    </row>
    <row r="477" spans="1:5" ht="15">
      <c r="A477" s="390"/>
      <c r="B477" s="395" t="s">
        <v>497</v>
      </c>
      <c r="C477" s="396">
        <v>2773</v>
      </c>
      <c r="D477" s="396">
        <v>0</v>
      </c>
      <c r="E477" s="396">
        <v>2773</v>
      </c>
    </row>
    <row r="478" spans="1:5" ht="15">
      <c r="A478" s="390"/>
      <c r="B478" s="395" t="s">
        <v>499</v>
      </c>
      <c r="C478" s="396">
        <v>1947</v>
      </c>
      <c r="D478" s="396">
        <v>0</v>
      </c>
      <c r="E478" s="396">
        <v>1947</v>
      </c>
    </row>
    <row r="479" spans="1:5" ht="12.75">
      <c r="A479" s="390"/>
      <c r="B479" s="390"/>
      <c r="C479" s="391"/>
      <c r="D479" s="391"/>
      <c r="E479" s="391"/>
    </row>
    <row r="480" spans="1:5" ht="15.75" customHeight="1">
      <c r="A480" s="413" t="s">
        <v>562</v>
      </c>
      <c r="B480" s="414"/>
      <c r="C480" s="414"/>
      <c r="D480" s="414"/>
      <c r="E480" s="414"/>
    </row>
    <row r="481" spans="1:5" s="98" customFormat="1" ht="14.25">
      <c r="A481" s="392"/>
      <c r="B481" s="393" t="s">
        <v>495</v>
      </c>
      <c r="C481" s="394">
        <v>17933</v>
      </c>
      <c r="D481" s="394">
        <v>0</v>
      </c>
      <c r="E481" s="394">
        <v>17933</v>
      </c>
    </row>
    <row r="482" spans="1:5" ht="15">
      <c r="A482" s="390"/>
      <c r="B482" s="395" t="s">
        <v>496</v>
      </c>
      <c r="C482" s="396">
        <v>14933</v>
      </c>
      <c r="D482" s="396">
        <v>0</v>
      </c>
      <c r="E482" s="396">
        <v>14933</v>
      </c>
    </row>
    <row r="483" spans="1:5" ht="15">
      <c r="A483" s="390"/>
      <c r="B483" s="395" t="s">
        <v>497</v>
      </c>
      <c r="C483" s="396">
        <v>3000</v>
      </c>
      <c r="D483" s="396">
        <v>0</v>
      </c>
      <c r="E483" s="396">
        <v>3000</v>
      </c>
    </row>
    <row r="484" spans="1:5" ht="12.75">
      <c r="A484" s="390"/>
      <c r="B484" s="390"/>
      <c r="C484" s="391"/>
      <c r="D484" s="391"/>
      <c r="E484" s="391"/>
    </row>
    <row r="485" spans="1:5" ht="15.75" customHeight="1">
      <c r="A485" s="413" t="s">
        <v>563</v>
      </c>
      <c r="B485" s="414"/>
      <c r="C485" s="414"/>
      <c r="D485" s="414"/>
      <c r="E485" s="414"/>
    </row>
    <row r="486" spans="1:5" s="98" customFormat="1" ht="14.25">
      <c r="A486" s="392"/>
      <c r="B486" s="393" t="s">
        <v>495</v>
      </c>
      <c r="C486" s="394">
        <v>560187</v>
      </c>
      <c r="D486" s="394">
        <v>0</v>
      </c>
      <c r="E486" s="394">
        <v>560187</v>
      </c>
    </row>
    <row r="487" spans="1:5" ht="15">
      <c r="A487" s="390"/>
      <c r="B487" s="395" t="s">
        <v>496</v>
      </c>
      <c r="C487" s="396">
        <v>510356</v>
      </c>
      <c r="D487" s="396">
        <v>-8651</v>
      </c>
      <c r="E487" s="396">
        <v>501705</v>
      </c>
    </row>
    <row r="488" spans="1:5" ht="15">
      <c r="A488" s="390"/>
      <c r="B488" s="395" t="s">
        <v>497</v>
      </c>
      <c r="C488" s="396">
        <v>34124</v>
      </c>
      <c r="D488" s="396">
        <v>8351</v>
      </c>
      <c r="E488" s="396">
        <v>42475</v>
      </c>
    </row>
    <row r="489" spans="1:5" ht="15">
      <c r="A489" s="390"/>
      <c r="B489" s="395" t="s">
        <v>499</v>
      </c>
      <c r="C489" s="396">
        <v>6429</v>
      </c>
      <c r="D489" s="396">
        <v>300</v>
      </c>
      <c r="E489" s="396">
        <v>6729</v>
      </c>
    </row>
    <row r="490" spans="1:5" ht="30">
      <c r="A490" s="390"/>
      <c r="B490" s="395" t="s">
        <v>501</v>
      </c>
      <c r="C490" s="396">
        <v>9278</v>
      </c>
      <c r="D490" s="396">
        <v>0</v>
      </c>
      <c r="E490" s="396">
        <v>9278</v>
      </c>
    </row>
    <row r="491" spans="1:5" ht="12.75">
      <c r="A491" s="390"/>
      <c r="B491" s="390"/>
      <c r="C491" s="391"/>
      <c r="D491" s="391"/>
      <c r="E491" s="391"/>
    </row>
    <row r="492" spans="1:5" s="98" customFormat="1" ht="15.75" customHeight="1">
      <c r="A492" s="413" t="s">
        <v>564</v>
      </c>
      <c r="B492" s="414"/>
      <c r="C492" s="414"/>
      <c r="D492" s="414"/>
      <c r="E492" s="414"/>
    </row>
    <row r="493" spans="1:5" s="98" customFormat="1" ht="14.25">
      <c r="A493" s="392"/>
      <c r="B493" s="393" t="s">
        <v>495</v>
      </c>
      <c r="C493" s="394">
        <v>32044</v>
      </c>
      <c r="D493" s="394">
        <v>0</v>
      </c>
      <c r="E493" s="394">
        <v>32044</v>
      </c>
    </row>
    <row r="494" spans="1:5" ht="15">
      <c r="A494" s="390"/>
      <c r="B494" s="395" t="s">
        <v>496</v>
      </c>
      <c r="C494" s="396">
        <v>5649</v>
      </c>
      <c r="D494" s="396">
        <v>0</v>
      </c>
      <c r="E494" s="396">
        <v>5649</v>
      </c>
    </row>
    <row r="495" spans="1:5" ht="15">
      <c r="A495" s="390"/>
      <c r="B495" s="395" t="s">
        <v>497</v>
      </c>
      <c r="C495" s="396">
        <v>9995</v>
      </c>
      <c r="D495" s="396">
        <v>0</v>
      </c>
      <c r="E495" s="396">
        <v>9995</v>
      </c>
    </row>
    <row r="496" spans="1:5" ht="15">
      <c r="A496" s="390"/>
      <c r="B496" s="395" t="s">
        <v>498</v>
      </c>
      <c r="C496" s="396">
        <v>11400</v>
      </c>
      <c r="D496" s="396">
        <v>0</v>
      </c>
      <c r="E496" s="396">
        <v>11400</v>
      </c>
    </row>
    <row r="497" spans="1:5" ht="15">
      <c r="A497" s="390"/>
      <c r="B497" s="395" t="s">
        <v>499</v>
      </c>
      <c r="C497" s="396">
        <v>4000</v>
      </c>
      <c r="D497" s="396">
        <v>0</v>
      </c>
      <c r="E497" s="396">
        <v>4000</v>
      </c>
    </row>
    <row r="498" spans="1:5" ht="30">
      <c r="A498" s="390"/>
      <c r="B498" s="395" t="s">
        <v>501</v>
      </c>
      <c r="C498" s="396">
        <v>1000</v>
      </c>
      <c r="D498" s="396">
        <v>0</v>
      </c>
      <c r="E498" s="396">
        <v>1000</v>
      </c>
    </row>
    <row r="499" spans="1:5" ht="26.25" customHeight="1">
      <c r="A499" s="390"/>
      <c r="B499" s="390"/>
      <c r="C499" s="391"/>
      <c r="D499" s="391"/>
      <c r="E499" s="391"/>
    </row>
    <row r="500" spans="1:5" s="98" customFormat="1" ht="31.5" customHeight="1">
      <c r="A500" s="415" t="s">
        <v>873</v>
      </c>
      <c r="B500" s="416"/>
      <c r="C500" s="416"/>
      <c r="D500" s="416"/>
      <c r="E500" s="416"/>
    </row>
    <row r="501" spans="1:5" ht="14.25">
      <c r="A501" s="386"/>
      <c r="B501" s="387" t="s">
        <v>495</v>
      </c>
      <c r="C501" s="388">
        <v>1321761</v>
      </c>
      <c r="D501" s="388">
        <v>0</v>
      </c>
      <c r="E501" s="388">
        <v>1321761</v>
      </c>
    </row>
    <row r="502" spans="1:5" ht="14.25">
      <c r="A502" s="386"/>
      <c r="B502" s="387" t="s">
        <v>496</v>
      </c>
      <c r="C502" s="388">
        <v>749206</v>
      </c>
      <c r="D502" s="388">
        <v>0</v>
      </c>
      <c r="E502" s="388">
        <v>749206</v>
      </c>
    </row>
    <row r="503" spans="1:5" ht="14.25">
      <c r="A503" s="386"/>
      <c r="B503" s="387" t="s">
        <v>497</v>
      </c>
      <c r="C503" s="388">
        <v>454316</v>
      </c>
      <c r="D503" s="388">
        <v>-3200</v>
      </c>
      <c r="E503" s="388">
        <f>454316-3200</f>
        <v>451116</v>
      </c>
    </row>
    <row r="504" spans="1:5" ht="14.25">
      <c r="A504" s="386"/>
      <c r="B504" s="387" t="s">
        <v>498</v>
      </c>
      <c r="C504" s="388">
        <v>35142</v>
      </c>
      <c r="D504" s="388">
        <v>0</v>
      </c>
      <c r="E504" s="388">
        <v>35142</v>
      </c>
    </row>
    <row r="505" spans="1:5" ht="14.25">
      <c r="A505" s="386"/>
      <c r="B505" s="387" t="s">
        <v>499</v>
      </c>
      <c r="C505" s="388">
        <v>23977</v>
      </c>
      <c r="D505" s="388">
        <v>3200</v>
      </c>
      <c r="E505" s="388">
        <f>23977+3200</f>
        <v>27177</v>
      </c>
    </row>
    <row r="506" spans="1:5" ht="14.25">
      <c r="A506" s="386"/>
      <c r="B506" s="387" t="s">
        <v>500</v>
      </c>
      <c r="C506" s="388">
        <v>26058</v>
      </c>
      <c r="D506" s="388">
        <v>0</v>
      </c>
      <c r="E506" s="388">
        <v>26058</v>
      </c>
    </row>
    <row r="507" spans="1:5" ht="28.5">
      <c r="A507" s="386"/>
      <c r="B507" s="387" t="s">
        <v>501</v>
      </c>
      <c r="C507" s="388">
        <v>33062</v>
      </c>
      <c r="D507" s="388">
        <v>0</v>
      </c>
      <c r="E507" s="388">
        <v>33062</v>
      </c>
    </row>
    <row r="508" spans="1:5" ht="12.75">
      <c r="A508" s="390"/>
      <c r="B508" s="390"/>
      <c r="C508" s="391"/>
      <c r="D508" s="391"/>
      <c r="E508" s="391"/>
    </row>
    <row r="509" spans="1:5" ht="15.75" customHeight="1">
      <c r="A509" s="413" t="s">
        <v>565</v>
      </c>
      <c r="B509" s="414"/>
      <c r="C509" s="414"/>
      <c r="D509" s="414"/>
      <c r="E509" s="414"/>
    </row>
    <row r="510" spans="1:5" s="98" customFormat="1" ht="14.25">
      <c r="A510" s="392"/>
      <c r="B510" s="393" t="s">
        <v>495</v>
      </c>
      <c r="C510" s="394">
        <v>1136312</v>
      </c>
      <c r="D510" s="394">
        <v>0</v>
      </c>
      <c r="E510" s="394">
        <v>1136312</v>
      </c>
    </row>
    <row r="511" spans="1:5" ht="15">
      <c r="A511" s="390"/>
      <c r="B511" s="395" t="s">
        <v>496</v>
      </c>
      <c r="C511" s="396">
        <v>706869</v>
      </c>
      <c r="D511" s="396">
        <v>0</v>
      </c>
      <c r="E511" s="396">
        <v>706869</v>
      </c>
    </row>
    <row r="512" spans="1:5" ht="15">
      <c r="A512" s="390"/>
      <c r="B512" s="395" t="s">
        <v>497</v>
      </c>
      <c r="C512" s="396">
        <v>366511</v>
      </c>
      <c r="D512" s="396">
        <v>-3200</v>
      </c>
      <c r="E512" s="396">
        <f>366511-3200</f>
        <v>363311</v>
      </c>
    </row>
    <row r="513" spans="1:5" ht="15">
      <c r="A513" s="390"/>
      <c r="B513" s="395" t="s">
        <v>498</v>
      </c>
      <c r="C513" s="396">
        <v>35142</v>
      </c>
      <c r="D513" s="396">
        <v>0</v>
      </c>
      <c r="E513" s="396">
        <v>35142</v>
      </c>
    </row>
    <row r="514" spans="1:5" ht="15">
      <c r="A514" s="390"/>
      <c r="B514" s="395" t="s">
        <v>499</v>
      </c>
      <c r="C514" s="396">
        <v>20090</v>
      </c>
      <c r="D514" s="396">
        <v>3200</v>
      </c>
      <c r="E514" s="396">
        <f>20090+3200</f>
        <v>23290</v>
      </c>
    </row>
    <row r="515" spans="1:5" ht="15">
      <c r="A515" s="390"/>
      <c r="B515" s="395" t="s">
        <v>500</v>
      </c>
      <c r="C515" s="396">
        <v>7700</v>
      </c>
      <c r="D515" s="396">
        <v>0</v>
      </c>
      <c r="E515" s="396">
        <v>7700</v>
      </c>
    </row>
    <row r="516" spans="1:5" ht="12.75">
      <c r="A516" s="390"/>
      <c r="B516" s="390"/>
      <c r="C516" s="391"/>
      <c r="D516" s="391"/>
      <c r="E516" s="391"/>
    </row>
    <row r="517" spans="1:5" s="98" customFormat="1" ht="15.75" customHeight="1">
      <c r="A517" s="413" t="s">
        <v>566</v>
      </c>
      <c r="B517" s="414"/>
      <c r="C517" s="414"/>
      <c r="D517" s="414"/>
      <c r="E517" s="414"/>
    </row>
    <row r="518" spans="1:5" s="98" customFormat="1" ht="14.25">
      <c r="A518" s="392"/>
      <c r="B518" s="393" t="s">
        <v>495</v>
      </c>
      <c r="C518" s="394">
        <v>185449</v>
      </c>
      <c r="D518" s="394">
        <v>0</v>
      </c>
      <c r="E518" s="394">
        <v>185449</v>
      </c>
    </row>
    <row r="519" spans="1:5" ht="15">
      <c r="A519" s="390"/>
      <c r="B519" s="395" t="s">
        <v>496</v>
      </c>
      <c r="C519" s="396">
        <v>42337</v>
      </c>
      <c r="D519" s="396">
        <v>0</v>
      </c>
      <c r="E519" s="396">
        <v>42337</v>
      </c>
    </row>
    <row r="520" spans="1:5" ht="15">
      <c r="A520" s="390"/>
      <c r="B520" s="395" t="s">
        <v>497</v>
      </c>
      <c r="C520" s="396">
        <v>87805</v>
      </c>
      <c r="D520" s="396">
        <v>0</v>
      </c>
      <c r="E520" s="396">
        <v>87805</v>
      </c>
    </row>
    <row r="521" spans="1:5" ht="15">
      <c r="A521" s="390"/>
      <c r="B521" s="395" t="s">
        <v>499</v>
      </c>
      <c r="C521" s="396">
        <v>3887</v>
      </c>
      <c r="D521" s="396">
        <v>0</v>
      </c>
      <c r="E521" s="396">
        <v>3887</v>
      </c>
    </row>
    <row r="522" spans="1:5" s="98" customFormat="1" ht="15">
      <c r="A522" s="390"/>
      <c r="B522" s="395" t="s">
        <v>500</v>
      </c>
      <c r="C522" s="396">
        <v>18358</v>
      </c>
      <c r="D522" s="396">
        <v>0</v>
      </c>
      <c r="E522" s="396">
        <v>18358</v>
      </c>
    </row>
    <row r="523" spans="1:5" ht="30">
      <c r="A523" s="390"/>
      <c r="B523" s="395" t="s">
        <v>501</v>
      </c>
      <c r="C523" s="396">
        <v>33062</v>
      </c>
      <c r="D523" s="396">
        <v>0</v>
      </c>
      <c r="E523" s="396">
        <v>33062</v>
      </c>
    </row>
    <row r="524" spans="1:5" ht="26.25" customHeight="1">
      <c r="A524" s="390"/>
      <c r="B524" s="390"/>
      <c r="C524" s="391"/>
      <c r="D524" s="391"/>
      <c r="E524" s="391"/>
    </row>
    <row r="525" spans="1:5" ht="15.75" customHeight="1">
      <c r="A525" s="415" t="s">
        <v>854</v>
      </c>
      <c r="B525" s="416"/>
      <c r="C525" s="416"/>
      <c r="D525" s="416"/>
      <c r="E525" s="416"/>
    </row>
    <row r="526" spans="1:5" ht="14.25">
      <c r="A526" s="386"/>
      <c r="B526" s="387" t="s">
        <v>495</v>
      </c>
      <c r="C526" s="388">
        <v>33613685</v>
      </c>
      <c r="D526" s="388">
        <v>76417</v>
      </c>
      <c r="E526" s="388">
        <v>33690102</v>
      </c>
    </row>
    <row r="527" spans="1:5" ht="14.25">
      <c r="A527" s="386"/>
      <c r="B527" s="387" t="s">
        <v>496</v>
      </c>
      <c r="C527" s="388">
        <v>23245599</v>
      </c>
      <c r="D527" s="388">
        <v>20578</v>
      </c>
      <c r="E527" s="388">
        <v>23266177</v>
      </c>
    </row>
    <row r="528" spans="1:5" ht="14.25">
      <c r="A528" s="386"/>
      <c r="B528" s="387" t="s">
        <v>497</v>
      </c>
      <c r="C528" s="388">
        <v>4545758</v>
      </c>
      <c r="D528" s="388">
        <v>85872</v>
      </c>
      <c r="E528" s="388">
        <v>4631630</v>
      </c>
    </row>
    <row r="529" spans="1:5" s="98" customFormat="1" ht="14.25">
      <c r="A529" s="386"/>
      <c r="B529" s="387" t="s">
        <v>498</v>
      </c>
      <c r="C529" s="388">
        <v>3014678</v>
      </c>
      <c r="D529" s="388">
        <v>-86959</v>
      </c>
      <c r="E529" s="388">
        <v>2927719</v>
      </c>
    </row>
    <row r="530" spans="1:5" ht="14.25">
      <c r="A530" s="386"/>
      <c r="B530" s="387" t="s">
        <v>499</v>
      </c>
      <c r="C530" s="388">
        <v>1512523</v>
      </c>
      <c r="D530" s="388">
        <v>82662</v>
      </c>
      <c r="E530" s="388">
        <v>1595185</v>
      </c>
    </row>
    <row r="531" spans="1:5" ht="14.25">
      <c r="A531" s="386"/>
      <c r="B531" s="387" t="s">
        <v>500</v>
      </c>
      <c r="C531" s="388">
        <v>345401</v>
      </c>
      <c r="D531" s="388">
        <v>-25736</v>
      </c>
      <c r="E531" s="388">
        <v>319665</v>
      </c>
    </row>
    <row r="532" spans="1:5" ht="28.5">
      <c r="A532" s="386"/>
      <c r="B532" s="387" t="s">
        <v>501</v>
      </c>
      <c r="C532" s="388">
        <v>949726</v>
      </c>
      <c r="D532" s="388">
        <v>0</v>
      </c>
      <c r="E532" s="388">
        <v>949726</v>
      </c>
    </row>
    <row r="533" spans="1:5" ht="12.75">
      <c r="A533" s="390"/>
      <c r="B533" s="390"/>
      <c r="C533" s="391"/>
      <c r="D533" s="391"/>
      <c r="E533" s="391"/>
    </row>
    <row r="534" spans="1:5" ht="15.75" customHeight="1">
      <c r="A534" s="413" t="s">
        <v>567</v>
      </c>
      <c r="B534" s="414"/>
      <c r="C534" s="414"/>
      <c r="D534" s="414"/>
      <c r="E534" s="414"/>
    </row>
    <row r="535" spans="1:5" s="98" customFormat="1" ht="14.25">
      <c r="A535" s="392"/>
      <c r="B535" s="393" t="s">
        <v>495</v>
      </c>
      <c r="C535" s="394">
        <v>940923</v>
      </c>
      <c r="D535" s="394">
        <v>0</v>
      </c>
      <c r="E535" s="394">
        <v>940923</v>
      </c>
    </row>
    <row r="536" spans="1:5" ht="15">
      <c r="A536" s="390"/>
      <c r="B536" s="395" t="s">
        <v>497</v>
      </c>
      <c r="C536" s="396">
        <v>100</v>
      </c>
      <c r="D536" s="396">
        <v>0</v>
      </c>
      <c r="E536" s="396">
        <v>100</v>
      </c>
    </row>
    <row r="537" spans="1:5" ht="30">
      <c r="A537" s="390"/>
      <c r="B537" s="395" t="s">
        <v>501</v>
      </c>
      <c r="C537" s="396">
        <v>940823</v>
      </c>
      <c r="D537" s="396">
        <v>0</v>
      </c>
      <c r="E537" s="396">
        <v>940823</v>
      </c>
    </row>
    <row r="538" spans="1:5" s="98" customFormat="1" ht="12.75">
      <c r="A538" s="390"/>
      <c r="B538" s="390"/>
      <c r="C538" s="391"/>
      <c r="D538" s="391"/>
      <c r="E538" s="391"/>
    </row>
    <row r="539" spans="1:5" ht="15.75" customHeight="1">
      <c r="A539" s="413" t="s">
        <v>814</v>
      </c>
      <c r="B539" s="414"/>
      <c r="C539" s="414"/>
      <c r="D539" s="414"/>
      <c r="E539" s="414"/>
    </row>
    <row r="540" spans="1:6" s="98" customFormat="1" ht="14.25">
      <c r="A540" s="392"/>
      <c r="B540" s="393" t="s">
        <v>495</v>
      </c>
      <c r="C540" s="394">
        <v>9641771</v>
      </c>
      <c r="D540" s="394">
        <v>-80959</v>
      </c>
      <c r="E540" s="394">
        <v>9560812</v>
      </c>
      <c r="F540" s="98">
        <v>9562162</v>
      </c>
    </row>
    <row r="541" spans="1:5" ht="15">
      <c r="A541" s="390"/>
      <c r="B541" s="395" t="s">
        <v>496</v>
      </c>
      <c r="C541" s="396">
        <v>5699437</v>
      </c>
      <c r="D541" s="396">
        <v>0</v>
      </c>
      <c r="E541" s="396">
        <v>5699437</v>
      </c>
    </row>
    <row r="542" spans="1:5" ht="15">
      <c r="A542" s="390"/>
      <c r="B542" s="395" t="s">
        <v>497</v>
      </c>
      <c r="C542" s="396">
        <v>826435</v>
      </c>
      <c r="D542" s="396">
        <v>2653</v>
      </c>
      <c r="E542" s="396">
        <v>829088</v>
      </c>
    </row>
    <row r="543" spans="1:5" ht="15">
      <c r="A543" s="390"/>
      <c r="B543" s="395" t="s">
        <v>498</v>
      </c>
      <c r="C543" s="396">
        <v>2690760</v>
      </c>
      <c r="D543" s="396">
        <v>-86959</v>
      </c>
      <c r="E543" s="396">
        <v>2603801</v>
      </c>
    </row>
    <row r="544" spans="1:5" ht="15">
      <c r="A544" s="390"/>
      <c r="B544" s="395" t="s">
        <v>499</v>
      </c>
      <c r="C544" s="396">
        <v>425139</v>
      </c>
      <c r="D544" s="396">
        <v>3347</v>
      </c>
      <c r="E544" s="396">
        <v>428486</v>
      </c>
    </row>
    <row r="545" spans="1:5" s="98" customFormat="1" ht="12.75">
      <c r="A545" s="390"/>
      <c r="B545" s="390"/>
      <c r="C545" s="391"/>
      <c r="D545" s="391"/>
      <c r="E545" s="391"/>
    </row>
    <row r="546" spans="1:5" ht="15.75" customHeight="1">
      <c r="A546" s="413" t="s">
        <v>815</v>
      </c>
      <c r="B546" s="414"/>
      <c r="C546" s="414"/>
      <c r="D546" s="414"/>
      <c r="E546" s="414"/>
    </row>
    <row r="547" spans="1:6" s="98" customFormat="1" ht="14.25">
      <c r="A547" s="392"/>
      <c r="B547" s="393" t="s">
        <v>495</v>
      </c>
      <c r="C547" s="394">
        <v>14930656</v>
      </c>
      <c r="D547" s="394">
        <v>76965</v>
      </c>
      <c r="E547" s="394">
        <v>15007621</v>
      </c>
      <c r="F547" s="98">
        <v>15013013</v>
      </c>
    </row>
    <row r="548" spans="1:5" ht="15">
      <c r="A548" s="390"/>
      <c r="B548" s="395" t="s">
        <v>496</v>
      </c>
      <c r="C548" s="396">
        <v>12000247</v>
      </c>
      <c r="D548" s="396">
        <v>-19663</v>
      </c>
      <c r="E548" s="396">
        <v>11980584</v>
      </c>
    </row>
    <row r="549" spans="1:5" ht="15">
      <c r="A549" s="390"/>
      <c r="B549" s="395" t="s">
        <v>497</v>
      </c>
      <c r="C549" s="396">
        <v>2131185</v>
      </c>
      <c r="D549" s="396">
        <v>54076</v>
      </c>
      <c r="E549" s="396">
        <v>2185261</v>
      </c>
    </row>
    <row r="550" spans="1:5" ht="15">
      <c r="A550" s="390"/>
      <c r="B550" s="395" t="s">
        <v>498</v>
      </c>
      <c r="C550" s="396">
        <v>270836</v>
      </c>
      <c r="D550" s="396">
        <v>0</v>
      </c>
      <c r="E550" s="396">
        <v>270836</v>
      </c>
    </row>
    <row r="551" spans="1:5" ht="15">
      <c r="A551" s="390"/>
      <c r="B551" s="395" t="s">
        <v>499</v>
      </c>
      <c r="C551" s="396">
        <v>474773</v>
      </c>
      <c r="D551" s="396">
        <v>42552</v>
      </c>
      <c r="E551" s="396">
        <v>517325</v>
      </c>
    </row>
    <row r="552" spans="1:5" ht="15">
      <c r="A552" s="390"/>
      <c r="B552" s="395" t="s">
        <v>500</v>
      </c>
      <c r="C552" s="396">
        <v>53475</v>
      </c>
      <c r="D552" s="396">
        <v>0</v>
      </c>
      <c r="E552" s="396">
        <v>53475</v>
      </c>
    </row>
    <row r="553" spans="1:5" s="98" customFormat="1" ht="30">
      <c r="A553" s="390"/>
      <c r="B553" s="395" t="s">
        <v>501</v>
      </c>
      <c r="C553" s="396">
        <v>140</v>
      </c>
      <c r="D553" s="396">
        <v>0</v>
      </c>
      <c r="E553" s="396">
        <v>140</v>
      </c>
    </row>
    <row r="554" spans="1:5" ht="12.75">
      <c r="A554" s="390"/>
      <c r="B554" s="390"/>
      <c r="C554" s="391"/>
      <c r="D554" s="391"/>
      <c r="E554" s="391"/>
    </row>
    <row r="555" spans="1:5" ht="15.75" customHeight="1">
      <c r="A555" s="413" t="s">
        <v>816</v>
      </c>
      <c r="B555" s="414"/>
      <c r="C555" s="414"/>
      <c r="D555" s="414"/>
      <c r="E555" s="414"/>
    </row>
    <row r="556" spans="1:5" s="98" customFormat="1" ht="14.25">
      <c r="A556" s="392"/>
      <c r="B556" s="393" t="s">
        <v>495</v>
      </c>
      <c r="C556" s="394">
        <v>2306273</v>
      </c>
      <c r="D556" s="394">
        <v>27475</v>
      </c>
      <c r="E556" s="394">
        <v>2333748</v>
      </c>
    </row>
    <row r="557" spans="1:5" ht="15">
      <c r="A557" s="390"/>
      <c r="B557" s="395" t="s">
        <v>496</v>
      </c>
      <c r="C557" s="396">
        <v>1852383</v>
      </c>
      <c r="D557" s="396">
        <v>13310</v>
      </c>
      <c r="E557" s="396">
        <v>1865693</v>
      </c>
    </row>
    <row r="558" spans="1:5" ht="15">
      <c r="A558" s="390"/>
      <c r="B558" s="395" t="s">
        <v>497</v>
      </c>
      <c r="C558" s="396">
        <v>396629</v>
      </c>
      <c r="D558" s="396">
        <v>14566</v>
      </c>
      <c r="E558" s="396">
        <v>411195</v>
      </c>
    </row>
    <row r="559" spans="1:5" ht="15">
      <c r="A559" s="390"/>
      <c r="B559" s="395" t="s">
        <v>499</v>
      </c>
      <c r="C559" s="396">
        <v>56110</v>
      </c>
      <c r="D559" s="396">
        <v>-401</v>
      </c>
      <c r="E559" s="396">
        <v>55709</v>
      </c>
    </row>
    <row r="560" spans="1:5" ht="30">
      <c r="A560" s="390"/>
      <c r="B560" s="395" t="s">
        <v>501</v>
      </c>
      <c r="C560" s="396">
        <v>1151</v>
      </c>
      <c r="D560" s="396">
        <v>0</v>
      </c>
      <c r="E560" s="396">
        <v>1151</v>
      </c>
    </row>
    <row r="561" spans="1:5" s="98" customFormat="1" ht="12.75">
      <c r="A561" s="390"/>
      <c r="B561" s="390"/>
      <c r="C561" s="391"/>
      <c r="D561" s="391"/>
      <c r="E561" s="391"/>
    </row>
    <row r="562" spans="1:5" ht="15.75" customHeight="1">
      <c r="A562" s="413" t="s">
        <v>568</v>
      </c>
      <c r="B562" s="414"/>
      <c r="C562" s="414"/>
      <c r="D562" s="414"/>
      <c r="E562" s="414"/>
    </row>
    <row r="563" spans="1:5" s="98" customFormat="1" ht="14.25">
      <c r="A563" s="392"/>
      <c r="B563" s="393" t="s">
        <v>495</v>
      </c>
      <c r="C563" s="394">
        <v>496219</v>
      </c>
      <c r="D563" s="394">
        <v>-7760</v>
      </c>
      <c r="E563" s="394">
        <v>488459</v>
      </c>
    </row>
    <row r="564" spans="1:5" ht="15">
      <c r="A564" s="390"/>
      <c r="B564" s="395" t="s">
        <v>496</v>
      </c>
      <c r="C564" s="396">
        <v>12243</v>
      </c>
      <c r="D564" s="396">
        <v>0</v>
      </c>
      <c r="E564" s="396">
        <v>12243</v>
      </c>
    </row>
    <row r="565" spans="1:5" ht="15">
      <c r="A565" s="390"/>
      <c r="B565" s="395" t="s">
        <v>497</v>
      </c>
      <c r="C565" s="396">
        <v>417209</v>
      </c>
      <c r="D565" s="396">
        <v>-12760</v>
      </c>
      <c r="E565" s="396">
        <v>404449</v>
      </c>
    </row>
    <row r="566" spans="1:5" ht="15">
      <c r="A566" s="390"/>
      <c r="B566" s="395" t="s">
        <v>498</v>
      </c>
      <c r="C566" s="396">
        <v>37410</v>
      </c>
      <c r="D566" s="396">
        <v>0</v>
      </c>
      <c r="E566" s="396">
        <v>37410</v>
      </c>
    </row>
    <row r="567" spans="1:5" s="98" customFormat="1" ht="15">
      <c r="A567" s="390"/>
      <c r="B567" s="395" t="s">
        <v>499</v>
      </c>
      <c r="C567" s="396">
        <v>21774</v>
      </c>
      <c r="D567" s="396">
        <v>5000</v>
      </c>
      <c r="E567" s="396">
        <v>26774</v>
      </c>
    </row>
    <row r="568" spans="1:5" ht="30">
      <c r="A568" s="390"/>
      <c r="B568" s="395" t="s">
        <v>501</v>
      </c>
      <c r="C568" s="396">
        <v>7583</v>
      </c>
      <c r="D568" s="396">
        <v>0</v>
      </c>
      <c r="E568" s="396">
        <v>7583</v>
      </c>
    </row>
    <row r="569" spans="1:5" ht="12.75">
      <c r="A569" s="390"/>
      <c r="B569" s="390"/>
      <c r="C569" s="391"/>
      <c r="D569" s="391"/>
      <c r="E569" s="391"/>
    </row>
    <row r="570" spans="1:5" ht="15.75" customHeight="1">
      <c r="A570" s="413" t="s">
        <v>569</v>
      </c>
      <c r="B570" s="414"/>
      <c r="C570" s="414"/>
      <c r="D570" s="414"/>
      <c r="E570" s="414"/>
    </row>
    <row r="571" spans="1:5" s="98" customFormat="1" ht="14.25">
      <c r="A571" s="392"/>
      <c r="B571" s="393" t="s">
        <v>495</v>
      </c>
      <c r="C571" s="394">
        <v>1242694</v>
      </c>
      <c r="D571" s="394">
        <v>17104</v>
      </c>
      <c r="E571" s="394">
        <v>1259798</v>
      </c>
    </row>
    <row r="572" spans="1:5" ht="15">
      <c r="A572" s="390"/>
      <c r="B572" s="395" t="s">
        <v>496</v>
      </c>
      <c r="C572" s="396">
        <v>1002416</v>
      </c>
      <c r="D572" s="396">
        <v>2631</v>
      </c>
      <c r="E572" s="396">
        <v>1005047</v>
      </c>
    </row>
    <row r="573" spans="1:5" ht="15">
      <c r="A573" s="390"/>
      <c r="B573" s="395" t="s">
        <v>497</v>
      </c>
      <c r="C573" s="396">
        <v>154815</v>
      </c>
      <c r="D573" s="396">
        <v>5748</v>
      </c>
      <c r="E573" s="396">
        <v>160563</v>
      </c>
    </row>
    <row r="574" spans="1:5" s="98" customFormat="1" ht="15">
      <c r="A574" s="390"/>
      <c r="B574" s="395" t="s">
        <v>499</v>
      </c>
      <c r="C574" s="396">
        <v>8093</v>
      </c>
      <c r="D574" s="396">
        <v>-3275</v>
      </c>
      <c r="E574" s="396">
        <v>4818</v>
      </c>
    </row>
    <row r="575" spans="1:5" ht="15">
      <c r="A575" s="390"/>
      <c r="B575" s="395" t="s">
        <v>500</v>
      </c>
      <c r="C575" s="396">
        <v>77349</v>
      </c>
      <c r="D575" s="396">
        <v>12000</v>
      </c>
      <c r="E575" s="396">
        <v>89349</v>
      </c>
    </row>
    <row r="576" spans="1:5" ht="30">
      <c r="A576" s="390"/>
      <c r="B576" s="395" t="s">
        <v>501</v>
      </c>
      <c r="C576" s="396">
        <v>21</v>
      </c>
      <c r="D576" s="396">
        <v>0</v>
      </c>
      <c r="E576" s="396">
        <v>21</v>
      </c>
    </row>
    <row r="577" spans="1:5" ht="12.75">
      <c r="A577" s="390"/>
      <c r="B577" s="390"/>
      <c r="C577" s="391"/>
      <c r="D577" s="391"/>
      <c r="E577" s="391"/>
    </row>
    <row r="578" spans="1:5" ht="15.75" customHeight="1">
      <c r="A578" s="413" t="s">
        <v>570</v>
      </c>
      <c r="B578" s="414"/>
      <c r="C578" s="414"/>
      <c r="D578" s="414"/>
      <c r="E578" s="414"/>
    </row>
    <row r="579" spans="1:5" s="98" customFormat="1" ht="14.25">
      <c r="A579" s="392"/>
      <c r="B579" s="393" t="s">
        <v>495</v>
      </c>
      <c r="C579" s="394">
        <v>436597</v>
      </c>
      <c r="D579" s="394">
        <v>62205</v>
      </c>
      <c r="E579" s="394">
        <v>498802</v>
      </c>
    </row>
    <row r="580" spans="1:5" ht="15">
      <c r="A580" s="390"/>
      <c r="B580" s="395" t="s">
        <v>496</v>
      </c>
      <c r="C580" s="396">
        <v>143801</v>
      </c>
      <c r="D580" s="396">
        <v>26800</v>
      </c>
      <c r="E580" s="396">
        <v>170601</v>
      </c>
    </row>
    <row r="581" spans="1:5" s="98" customFormat="1" ht="15">
      <c r="A581" s="390"/>
      <c r="B581" s="395" t="s">
        <v>497</v>
      </c>
      <c r="C581" s="396">
        <v>269796</v>
      </c>
      <c r="D581" s="396">
        <v>20865</v>
      </c>
      <c r="E581" s="396">
        <v>290661</v>
      </c>
    </row>
    <row r="582" spans="1:5" ht="15">
      <c r="A582" s="390"/>
      <c r="B582" s="395" t="s">
        <v>499</v>
      </c>
      <c r="C582" s="396">
        <v>23000</v>
      </c>
      <c r="D582" s="396">
        <v>12540</v>
      </c>
      <c r="E582" s="396">
        <v>35540</v>
      </c>
    </row>
    <row r="583" spans="1:5" ht="15">
      <c r="A583" s="390"/>
      <c r="B583" s="395" t="s">
        <v>500</v>
      </c>
      <c r="C583" s="396">
        <v>0</v>
      </c>
      <c r="D583" s="396">
        <v>2000</v>
      </c>
      <c r="E583" s="396">
        <v>2000</v>
      </c>
    </row>
    <row r="584" spans="1:5" ht="12.75">
      <c r="A584" s="390"/>
      <c r="B584" s="390"/>
      <c r="C584" s="391"/>
      <c r="D584" s="391"/>
      <c r="E584" s="391"/>
    </row>
    <row r="585" spans="1:5" ht="15.75" customHeight="1">
      <c r="A585" s="413" t="s">
        <v>817</v>
      </c>
      <c r="B585" s="414"/>
      <c r="C585" s="414"/>
      <c r="D585" s="414"/>
      <c r="E585" s="414"/>
    </row>
    <row r="586" spans="1:5" s="98" customFormat="1" ht="14.25">
      <c r="A586" s="392"/>
      <c r="B586" s="393" t="s">
        <v>495</v>
      </c>
      <c r="C586" s="394">
        <v>1624497</v>
      </c>
      <c r="D586" s="394">
        <v>12851</v>
      </c>
      <c r="E586" s="394">
        <v>1637348</v>
      </c>
    </row>
    <row r="587" spans="1:5" ht="15">
      <c r="A587" s="390"/>
      <c r="B587" s="395" t="s">
        <v>496</v>
      </c>
      <c r="C587" s="396">
        <v>937633</v>
      </c>
      <c r="D587" s="396">
        <v>-2500</v>
      </c>
      <c r="E587" s="396">
        <v>935133</v>
      </c>
    </row>
    <row r="588" spans="1:5" ht="15">
      <c r="A588" s="390"/>
      <c r="B588" s="395" t="s">
        <v>497</v>
      </c>
      <c r="C588" s="396">
        <v>188719</v>
      </c>
      <c r="D588" s="396">
        <v>-7048</v>
      </c>
      <c r="E588" s="396">
        <v>181671</v>
      </c>
    </row>
    <row r="589" spans="1:5" ht="15">
      <c r="A589" s="390"/>
      <c r="B589" s="395" t="s">
        <v>498</v>
      </c>
      <c r="C589" s="396">
        <v>13832</v>
      </c>
      <c r="D589" s="396">
        <v>0</v>
      </c>
      <c r="E589" s="396">
        <v>13832</v>
      </c>
    </row>
    <row r="590" spans="1:5" ht="15">
      <c r="A590" s="390"/>
      <c r="B590" s="395" t="s">
        <v>499</v>
      </c>
      <c r="C590" s="396">
        <v>484313</v>
      </c>
      <c r="D590" s="396">
        <v>22399</v>
      </c>
      <c r="E590" s="396">
        <v>506712</v>
      </c>
    </row>
    <row r="591" spans="1:5" ht="12.75">
      <c r="A591" s="390"/>
      <c r="B591" s="390"/>
      <c r="C591" s="391"/>
      <c r="D591" s="391"/>
      <c r="E591" s="391"/>
    </row>
    <row r="592" spans="1:5" ht="15.75" customHeight="1">
      <c r="A592" s="413" t="s">
        <v>571</v>
      </c>
      <c r="B592" s="414"/>
      <c r="C592" s="414"/>
      <c r="D592" s="414"/>
      <c r="E592" s="414"/>
    </row>
    <row r="593" spans="1:5" s="98" customFormat="1" ht="14.25">
      <c r="A593" s="392"/>
      <c r="B593" s="393" t="s">
        <v>495</v>
      </c>
      <c r="C593" s="394">
        <v>258347</v>
      </c>
      <c r="D593" s="394">
        <v>0</v>
      </c>
      <c r="E593" s="394">
        <v>258347</v>
      </c>
    </row>
    <row r="594" spans="1:5" ht="15">
      <c r="A594" s="390"/>
      <c r="B594" s="395" t="s">
        <v>496</v>
      </c>
      <c r="C594" s="396">
        <v>221331</v>
      </c>
      <c r="D594" s="396">
        <v>0</v>
      </c>
      <c r="E594" s="396">
        <v>221331</v>
      </c>
    </row>
    <row r="595" spans="1:5" ht="15">
      <c r="A595" s="390"/>
      <c r="B595" s="395" t="s">
        <v>497</v>
      </c>
      <c r="C595" s="396">
        <v>35673</v>
      </c>
      <c r="D595" s="396">
        <v>0</v>
      </c>
      <c r="E595" s="396">
        <v>35673</v>
      </c>
    </row>
    <row r="596" spans="1:5" ht="15">
      <c r="A596" s="390"/>
      <c r="B596" s="395" t="s">
        <v>499</v>
      </c>
      <c r="C596" s="396">
        <v>1335</v>
      </c>
      <c r="D596" s="396">
        <v>0</v>
      </c>
      <c r="E596" s="396">
        <v>1335</v>
      </c>
    </row>
    <row r="597" spans="1:5" ht="30">
      <c r="A597" s="390"/>
      <c r="B597" s="395" t="s">
        <v>501</v>
      </c>
      <c r="C597" s="396">
        <v>8</v>
      </c>
      <c r="D597" s="396">
        <v>0</v>
      </c>
      <c r="E597" s="396">
        <v>8</v>
      </c>
    </row>
    <row r="598" spans="1:5" ht="12.75">
      <c r="A598" s="390"/>
      <c r="B598" s="390"/>
      <c r="C598" s="391"/>
      <c r="D598" s="391"/>
      <c r="E598" s="391"/>
    </row>
    <row r="599" spans="1:5" ht="15.75" customHeight="1">
      <c r="A599" s="413" t="s">
        <v>819</v>
      </c>
      <c r="B599" s="414"/>
      <c r="C599" s="414"/>
      <c r="D599" s="414"/>
      <c r="E599" s="414"/>
    </row>
    <row r="600" spans="1:5" s="98" customFormat="1" ht="14.25">
      <c r="A600" s="392"/>
      <c r="B600" s="393" t="s">
        <v>495</v>
      </c>
      <c r="C600" s="394">
        <v>1059</v>
      </c>
      <c r="D600" s="394">
        <v>0</v>
      </c>
      <c r="E600" s="394">
        <v>1059</v>
      </c>
    </row>
    <row r="601" spans="1:5" ht="15">
      <c r="A601" s="390"/>
      <c r="B601" s="395" t="s">
        <v>497</v>
      </c>
      <c r="C601" s="396">
        <v>1059</v>
      </c>
      <c r="D601" s="396">
        <v>0</v>
      </c>
      <c r="E601" s="396">
        <v>1059</v>
      </c>
    </row>
    <row r="602" spans="1:5" ht="15">
      <c r="A602" s="390"/>
      <c r="B602" s="395" t="s">
        <v>499</v>
      </c>
      <c r="C602" s="396">
        <v>0</v>
      </c>
      <c r="D602" s="396">
        <v>0</v>
      </c>
      <c r="E602" s="396">
        <v>0</v>
      </c>
    </row>
    <row r="603" spans="1:5" ht="12.75">
      <c r="A603" s="390"/>
      <c r="B603" s="390"/>
      <c r="C603" s="391"/>
      <c r="D603" s="391"/>
      <c r="E603" s="391"/>
    </row>
    <row r="604" spans="1:5" ht="15.75" customHeight="1">
      <c r="A604" s="413" t="s">
        <v>874</v>
      </c>
      <c r="B604" s="414"/>
      <c r="C604" s="414"/>
      <c r="D604" s="414"/>
      <c r="E604" s="414"/>
    </row>
    <row r="605" spans="1:5" s="98" customFormat="1" ht="14.25">
      <c r="A605" s="392"/>
      <c r="B605" s="393" t="s">
        <v>495</v>
      </c>
      <c r="C605" s="394">
        <v>844292</v>
      </c>
      <c r="D605" s="394">
        <v>8272</v>
      </c>
      <c r="E605" s="394">
        <v>852564</v>
      </c>
    </row>
    <row r="606" spans="1:5" s="98" customFormat="1" ht="15">
      <c r="A606" s="390"/>
      <c r="B606" s="395" t="s">
        <v>496</v>
      </c>
      <c r="C606" s="396">
        <v>746837</v>
      </c>
      <c r="D606" s="396">
        <v>0</v>
      </c>
      <c r="E606" s="396">
        <v>746837</v>
      </c>
    </row>
    <row r="607" spans="1:5" ht="15">
      <c r="A607" s="390"/>
      <c r="B607" s="395" t="s">
        <v>497</v>
      </c>
      <c r="C607" s="396">
        <v>83305</v>
      </c>
      <c r="D607" s="396">
        <v>7772</v>
      </c>
      <c r="E607" s="396">
        <v>91077</v>
      </c>
    </row>
    <row r="608" spans="1:5" ht="15">
      <c r="A608" s="390"/>
      <c r="B608" s="395" t="s">
        <v>499</v>
      </c>
      <c r="C608" s="396">
        <v>14150</v>
      </c>
      <c r="D608" s="396">
        <v>500</v>
      </c>
      <c r="E608" s="396">
        <v>14650</v>
      </c>
    </row>
    <row r="609" spans="1:5" ht="15">
      <c r="A609" s="390"/>
      <c r="B609" s="395" t="s">
        <v>500</v>
      </c>
      <c r="C609" s="396">
        <v>0</v>
      </c>
      <c r="D609" s="396">
        <v>0</v>
      </c>
      <c r="E609" s="396">
        <v>0</v>
      </c>
    </row>
    <row r="610" spans="1:5" ht="12.75">
      <c r="A610" s="390"/>
      <c r="B610" s="390"/>
      <c r="C610" s="391"/>
      <c r="D610" s="391"/>
      <c r="E610" s="391"/>
    </row>
    <row r="611" spans="1:5" ht="15.75" customHeight="1">
      <c r="A611" s="413" t="s">
        <v>875</v>
      </c>
      <c r="B611" s="414"/>
      <c r="C611" s="414"/>
      <c r="D611" s="414"/>
      <c r="E611" s="414"/>
    </row>
    <row r="612" spans="1:5" s="98" customFormat="1" ht="14.25">
      <c r="A612" s="392"/>
      <c r="B612" s="393" t="s">
        <v>495</v>
      </c>
      <c r="C612" s="394">
        <v>587635</v>
      </c>
      <c r="D612" s="394">
        <v>0</v>
      </c>
      <c r="E612" s="394">
        <v>587635</v>
      </c>
    </row>
    <row r="613" spans="1:5" ht="15">
      <c r="A613" s="390"/>
      <c r="B613" s="395" t="s">
        <v>496</v>
      </c>
      <c r="C613" s="396">
        <v>548266</v>
      </c>
      <c r="D613" s="396">
        <v>0</v>
      </c>
      <c r="E613" s="396">
        <v>548266</v>
      </c>
    </row>
    <row r="614" spans="1:5" ht="15">
      <c r="A614" s="390"/>
      <c r="B614" s="395" t="s">
        <v>497</v>
      </c>
      <c r="C614" s="396">
        <v>35393</v>
      </c>
      <c r="D614" s="396">
        <v>0</v>
      </c>
      <c r="E614" s="396">
        <v>35393</v>
      </c>
    </row>
    <row r="615" spans="1:5" s="98" customFormat="1" ht="15">
      <c r="A615" s="390"/>
      <c r="B615" s="395" t="s">
        <v>498</v>
      </c>
      <c r="C615" s="396">
        <v>1840</v>
      </c>
      <c r="D615" s="396">
        <v>0</v>
      </c>
      <c r="E615" s="396">
        <v>1840</v>
      </c>
    </row>
    <row r="616" spans="1:5" ht="15">
      <c r="A616" s="390"/>
      <c r="B616" s="395" t="s">
        <v>499</v>
      </c>
      <c r="C616" s="396">
        <v>2136</v>
      </c>
      <c r="D616" s="396">
        <v>0</v>
      </c>
      <c r="E616" s="396">
        <v>2136</v>
      </c>
    </row>
    <row r="617" spans="1:5" ht="12.75">
      <c r="A617" s="390"/>
      <c r="B617" s="390"/>
      <c r="C617" s="391"/>
      <c r="D617" s="391"/>
      <c r="E617" s="391"/>
    </row>
    <row r="618" spans="1:5" ht="15.75" customHeight="1">
      <c r="A618" s="413" t="s">
        <v>876</v>
      </c>
      <c r="B618" s="414"/>
      <c r="C618" s="414"/>
      <c r="D618" s="414"/>
      <c r="E618" s="414"/>
    </row>
    <row r="619" spans="1:5" s="98" customFormat="1" ht="14.25">
      <c r="A619" s="392"/>
      <c r="B619" s="393" t="s">
        <v>495</v>
      </c>
      <c r="C619" s="394">
        <v>88145</v>
      </c>
      <c r="D619" s="394">
        <v>0</v>
      </c>
      <c r="E619" s="394">
        <v>88145</v>
      </c>
    </row>
    <row r="620" spans="1:5" ht="15">
      <c r="A620" s="390"/>
      <c r="B620" s="395" t="s">
        <v>496</v>
      </c>
      <c r="C620" s="396">
        <v>81005</v>
      </c>
      <c r="D620" s="396">
        <v>0</v>
      </c>
      <c r="E620" s="396">
        <v>81005</v>
      </c>
    </row>
    <row r="621" spans="1:5" ht="15">
      <c r="A621" s="390"/>
      <c r="B621" s="395" t="s">
        <v>497</v>
      </c>
      <c r="C621" s="396">
        <v>5440</v>
      </c>
      <c r="D621" s="396">
        <v>0</v>
      </c>
      <c r="E621" s="396">
        <v>5440</v>
      </c>
    </row>
    <row r="622" spans="1:5" ht="15">
      <c r="A622" s="390"/>
      <c r="B622" s="395" t="s">
        <v>499</v>
      </c>
      <c r="C622" s="396">
        <v>1700</v>
      </c>
      <c r="D622" s="396">
        <v>0</v>
      </c>
      <c r="E622" s="396">
        <v>1700</v>
      </c>
    </row>
    <row r="623" spans="1:5" ht="12.75">
      <c r="A623" s="390"/>
      <c r="B623" s="390"/>
      <c r="C623" s="391"/>
      <c r="D623" s="391"/>
      <c r="E623" s="391"/>
    </row>
    <row r="624" spans="1:5" ht="15.75" customHeight="1">
      <c r="A624" s="413" t="s">
        <v>572</v>
      </c>
      <c r="B624" s="414"/>
      <c r="C624" s="414"/>
      <c r="D624" s="414"/>
      <c r="E624" s="414"/>
    </row>
    <row r="625" spans="1:5" s="98" customFormat="1" ht="14.25">
      <c r="A625" s="392"/>
      <c r="B625" s="393" t="s">
        <v>495</v>
      </c>
      <c r="C625" s="394">
        <v>214577</v>
      </c>
      <c r="D625" s="394">
        <v>-39736</v>
      </c>
      <c r="E625" s="394">
        <v>174841</v>
      </c>
    </row>
    <row r="626" spans="1:5" ht="15">
      <c r="A626" s="390"/>
      <c r="B626" s="395" t="s">
        <v>500</v>
      </c>
      <c r="C626" s="396">
        <v>214577</v>
      </c>
      <c r="D626" s="396">
        <v>-39736</v>
      </c>
      <c r="E626" s="396">
        <v>174841</v>
      </c>
    </row>
    <row r="627" spans="1:5" ht="21" customHeight="1">
      <c r="A627" s="390"/>
      <c r="B627" s="390"/>
      <c r="C627" s="391"/>
      <c r="D627" s="391"/>
      <c r="E627" s="391"/>
    </row>
    <row r="628" spans="1:5" s="98" customFormat="1" ht="15.75" customHeight="1">
      <c r="A628" s="415" t="s">
        <v>877</v>
      </c>
      <c r="B628" s="417"/>
      <c r="C628" s="417"/>
      <c r="D628" s="417"/>
      <c r="E628" s="417"/>
    </row>
    <row r="629" spans="1:5" ht="14.25">
      <c r="A629" s="389"/>
      <c r="B629" s="387" t="s">
        <v>495</v>
      </c>
      <c r="C629" s="388">
        <v>204550</v>
      </c>
      <c r="D629" s="388">
        <v>0</v>
      </c>
      <c r="E629" s="388">
        <v>204550</v>
      </c>
    </row>
    <row r="630" spans="1:5" ht="14.25">
      <c r="A630" s="389"/>
      <c r="B630" s="387" t="s">
        <v>496</v>
      </c>
      <c r="C630" s="388">
        <v>178364</v>
      </c>
      <c r="D630" s="388">
        <v>0</v>
      </c>
      <c r="E630" s="388">
        <v>178364</v>
      </c>
    </row>
    <row r="631" spans="1:5" ht="14.25">
      <c r="A631" s="389"/>
      <c r="B631" s="387" t="s">
        <v>497</v>
      </c>
      <c r="C631" s="388">
        <v>26186</v>
      </c>
      <c r="D631" s="388">
        <v>0</v>
      </c>
      <c r="E631" s="388">
        <v>26186</v>
      </c>
    </row>
    <row r="632" spans="1:5" s="98" customFormat="1" ht="12.75">
      <c r="A632" s="390"/>
      <c r="B632" s="390"/>
      <c r="C632" s="391"/>
      <c r="D632" s="391"/>
      <c r="E632" s="391"/>
    </row>
    <row r="633" spans="1:5" ht="15.75" customHeight="1">
      <c r="A633" s="413" t="s">
        <v>878</v>
      </c>
      <c r="B633" s="414"/>
      <c r="C633" s="414"/>
      <c r="D633" s="414"/>
      <c r="E633" s="414"/>
    </row>
    <row r="634" spans="1:5" s="98" customFormat="1" ht="14.25">
      <c r="A634" s="392"/>
      <c r="B634" s="393" t="s">
        <v>495</v>
      </c>
      <c r="C634" s="394">
        <v>204550</v>
      </c>
      <c r="D634" s="394">
        <v>0</v>
      </c>
      <c r="E634" s="394">
        <v>204550</v>
      </c>
    </row>
    <row r="635" spans="1:5" ht="15">
      <c r="A635" s="390"/>
      <c r="B635" s="395" t="s">
        <v>496</v>
      </c>
      <c r="C635" s="396">
        <v>178364</v>
      </c>
      <c r="D635" s="396">
        <v>0</v>
      </c>
      <c r="E635" s="396">
        <v>178364</v>
      </c>
    </row>
    <row r="636" spans="1:5" s="98" customFormat="1" ht="15">
      <c r="A636" s="390"/>
      <c r="B636" s="395" t="s">
        <v>497</v>
      </c>
      <c r="C636" s="396">
        <v>26186</v>
      </c>
      <c r="D636" s="396">
        <v>0</v>
      </c>
      <c r="E636" s="396">
        <v>26186</v>
      </c>
    </row>
    <row r="637" spans="1:5" ht="18.75" customHeight="1">
      <c r="A637" s="390"/>
      <c r="B637" s="390"/>
      <c r="C637" s="391"/>
      <c r="D637" s="391"/>
      <c r="E637" s="391"/>
    </row>
    <row r="638" spans="1:5" ht="21" customHeight="1">
      <c r="A638" s="415" t="s">
        <v>855</v>
      </c>
      <c r="B638" s="416"/>
      <c r="C638" s="416"/>
      <c r="D638" s="416"/>
      <c r="E638" s="416"/>
    </row>
    <row r="639" spans="1:5" ht="14.25">
      <c r="A639" s="386"/>
      <c r="B639" s="387" t="s">
        <v>495</v>
      </c>
      <c r="C639" s="388">
        <v>5617461</v>
      </c>
      <c r="D639" s="388">
        <v>445</v>
      </c>
      <c r="E639" s="388">
        <v>5617906</v>
      </c>
    </row>
    <row r="640" spans="1:5" s="98" customFormat="1" ht="14.25">
      <c r="A640" s="386"/>
      <c r="B640" s="387" t="s">
        <v>496</v>
      </c>
      <c r="C640" s="388">
        <v>2146338</v>
      </c>
      <c r="D640" s="388">
        <v>445</v>
      </c>
      <c r="E640" s="388">
        <v>2146783</v>
      </c>
    </row>
    <row r="641" spans="1:5" ht="14.25">
      <c r="A641" s="386"/>
      <c r="B641" s="387" t="s">
        <v>497</v>
      </c>
      <c r="C641" s="388">
        <v>361828</v>
      </c>
      <c r="D641" s="388">
        <v>0</v>
      </c>
      <c r="E641" s="388">
        <v>361828</v>
      </c>
    </row>
    <row r="642" spans="1:5" ht="14.25">
      <c r="A642" s="386"/>
      <c r="B642" s="387" t="s">
        <v>499</v>
      </c>
      <c r="C642" s="388">
        <v>38832</v>
      </c>
      <c r="D642" s="388">
        <v>0</v>
      </c>
      <c r="E642" s="388">
        <v>38832</v>
      </c>
    </row>
    <row r="643" spans="1:5" ht="14.25">
      <c r="A643" s="386"/>
      <c r="B643" s="387" t="s">
        <v>500</v>
      </c>
      <c r="C643" s="388">
        <v>2715561</v>
      </c>
      <c r="D643" s="388">
        <v>0</v>
      </c>
      <c r="E643" s="388">
        <v>2715561</v>
      </c>
    </row>
    <row r="644" spans="1:5" s="98" customFormat="1" ht="28.5">
      <c r="A644" s="386"/>
      <c r="B644" s="387" t="s">
        <v>501</v>
      </c>
      <c r="C644" s="388">
        <v>354902</v>
      </c>
      <c r="D644" s="388">
        <v>0</v>
      </c>
      <c r="E644" s="388">
        <v>354902</v>
      </c>
    </row>
    <row r="645" spans="1:5" ht="12.75">
      <c r="A645" s="390"/>
      <c r="B645" s="390"/>
      <c r="C645" s="391"/>
      <c r="D645" s="391"/>
      <c r="E645" s="391"/>
    </row>
    <row r="646" spans="1:5" ht="15.75" customHeight="1">
      <c r="A646" s="413" t="s">
        <v>573</v>
      </c>
      <c r="B646" s="414"/>
      <c r="C646" s="414"/>
      <c r="D646" s="414"/>
      <c r="E646" s="414"/>
    </row>
    <row r="647" spans="1:5" s="98" customFormat="1" ht="14.25">
      <c r="A647" s="392"/>
      <c r="B647" s="393" t="s">
        <v>495</v>
      </c>
      <c r="C647" s="394">
        <v>354002</v>
      </c>
      <c r="D647" s="394">
        <v>0</v>
      </c>
      <c r="E647" s="394">
        <v>354002</v>
      </c>
    </row>
    <row r="648" spans="1:5" s="98" customFormat="1" ht="30">
      <c r="A648" s="390"/>
      <c r="B648" s="395" t="s">
        <v>501</v>
      </c>
      <c r="C648" s="396">
        <v>354002</v>
      </c>
      <c r="D648" s="396">
        <v>0</v>
      </c>
      <c r="E648" s="396">
        <v>354002</v>
      </c>
    </row>
    <row r="649" spans="1:5" ht="12.75">
      <c r="A649" s="390"/>
      <c r="B649" s="390"/>
      <c r="C649" s="391"/>
      <c r="D649" s="391"/>
      <c r="E649" s="391"/>
    </row>
    <row r="650" spans="1:5" ht="15.75" customHeight="1">
      <c r="A650" s="413" t="s">
        <v>574</v>
      </c>
      <c r="B650" s="414"/>
      <c r="C650" s="414"/>
      <c r="D650" s="414"/>
      <c r="E650" s="414"/>
    </row>
    <row r="651" spans="1:5" s="98" customFormat="1" ht="14.25">
      <c r="A651" s="392"/>
      <c r="B651" s="393" t="s">
        <v>495</v>
      </c>
      <c r="C651" s="394">
        <v>70300</v>
      </c>
      <c r="D651" s="394">
        <v>2000</v>
      </c>
      <c r="E651" s="394">
        <v>72300</v>
      </c>
    </row>
    <row r="652" spans="1:5" ht="15">
      <c r="A652" s="390"/>
      <c r="B652" s="395" t="s">
        <v>500</v>
      </c>
      <c r="C652" s="396">
        <v>70300</v>
      </c>
      <c r="D652" s="396">
        <v>2000</v>
      </c>
      <c r="E652" s="396">
        <v>72300</v>
      </c>
    </row>
    <row r="653" spans="1:5" ht="12.75">
      <c r="A653" s="390"/>
      <c r="B653" s="390"/>
      <c r="C653" s="391"/>
      <c r="D653" s="391"/>
      <c r="E653" s="391"/>
    </row>
    <row r="654" spans="1:5" ht="15.75" customHeight="1">
      <c r="A654" s="413" t="s">
        <v>575</v>
      </c>
      <c r="B654" s="414"/>
      <c r="C654" s="414"/>
      <c r="D654" s="414"/>
      <c r="E654" s="414"/>
    </row>
    <row r="655" spans="1:5" s="98" customFormat="1" ht="14.25">
      <c r="A655" s="392"/>
      <c r="B655" s="393" t="s">
        <v>495</v>
      </c>
      <c r="C655" s="394">
        <v>11780</v>
      </c>
      <c r="D655" s="394">
        <v>0</v>
      </c>
      <c r="E655" s="394">
        <v>11780</v>
      </c>
    </row>
    <row r="656" spans="1:5" s="98" customFormat="1" ht="15">
      <c r="A656" s="390"/>
      <c r="B656" s="395" t="s">
        <v>500</v>
      </c>
      <c r="C656" s="396">
        <v>11780</v>
      </c>
      <c r="D656" s="396">
        <v>0</v>
      </c>
      <c r="E656" s="396">
        <v>11780</v>
      </c>
    </row>
    <row r="657" spans="1:5" ht="12.75">
      <c r="A657" s="390"/>
      <c r="B657" s="390"/>
      <c r="C657" s="391"/>
      <c r="D657" s="391"/>
      <c r="E657" s="391"/>
    </row>
    <row r="658" spans="1:5" ht="15.75" customHeight="1">
      <c r="A658" s="413" t="s">
        <v>576</v>
      </c>
      <c r="B658" s="414"/>
      <c r="C658" s="414"/>
      <c r="D658" s="414"/>
      <c r="E658" s="414"/>
    </row>
    <row r="659" spans="1:5" s="98" customFormat="1" ht="14.25">
      <c r="A659" s="392"/>
      <c r="B659" s="393" t="s">
        <v>495</v>
      </c>
      <c r="C659" s="394">
        <v>30875</v>
      </c>
      <c r="D659" s="394">
        <v>0</v>
      </c>
      <c r="E659" s="394">
        <v>30875</v>
      </c>
    </row>
    <row r="660" spans="1:5" ht="15">
      <c r="A660" s="390"/>
      <c r="B660" s="395" t="s">
        <v>500</v>
      </c>
      <c r="C660" s="396">
        <v>30875</v>
      </c>
      <c r="D660" s="396">
        <v>0</v>
      </c>
      <c r="E660" s="396">
        <v>30875</v>
      </c>
    </row>
    <row r="661" spans="1:5" s="98" customFormat="1" ht="12.75">
      <c r="A661" s="390"/>
      <c r="B661" s="390"/>
      <c r="C661" s="391"/>
      <c r="D661" s="391"/>
      <c r="E661" s="391"/>
    </row>
    <row r="662" spans="1:5" ht="15.75" customHeight="1">
      <c r="A662" s="413" t="s">
        <v>577</v>
      </c>
      <c r="B662" s="414"/>
      <c r="C662" s="414"/>
      <c r="D662" s="414"/>
      <c r="E662" s="414"/>
    </row>
    <row r="663" spans="1:5" s="98" customFormat="1" ht="14.25">
      <c r="A663" s="392"/>
      <c r="B663" s="393" t="s">
        <v>495</v>
      </c>
      <c r="C663" s="394">
        <v>4522</v>
      </c>
      <c r="D663" s="394">
        <v>0</v>
      </c>
      <c r="E663" s="394">
        <v>4522</v>
      </c>
    </row>
    <row r="664" spans="1:5" ht="15">
      <c r="A664" s="390"/>
      <c r="B664" s="395" t="s">
        <v>497</v>
      </c>
      <c r="C664" s="396">
        <v>4522</v>
      </c>
      <c r="D664" s="396">
        <v>0</v>
      </c>
      <c r="E664" s="396">
        <v>4522</v>
      </c>
    </row>
    <row r="665" spans="1:5" ht="12.75">
      <c r="A665" s="390"/>
      <c r="B665" s="390"/>
      <c r="C665" s="391"/>
      <c r="D665" s="391"/>
      <c r="E665" s="391"/>
    </row>
    <row r="666" spans="1:5" ht="15.75" customHeight="1">
      <c r="A666" s="413" t="s">
        <v>578</v>
      </c>
      <c r="B666" s="414"/>
      <c r="C666" s="414"/>
      <c r="D666" s="414"/>
      <c r="E666" s="414"/>
    </row>
    <row r="667" spans="1:5" s="98" customFormat="1" ht="14.25">
      <c r="A667" s="392"/>
      <c r="B667" s="393" t="s">
        <v>495</v>
      </c>
      <c r="C667" s="394">
        <v>683773</v>
      </c>
      <c r="D667" s="394">
        <v>0</v>
      </c>
      <c r="E667" s="394">
        <v>683773</v>
      </c>
    </row>
    <row r="668" spans="1:5" ht="15">
      <c r="A668" s="390"/>
      <c r="B668" s="395" t="s">
        <v>496</v>
      </c>
      <c r="C668" s="396">
        <v>534228</v>
      </c>
      <c r="D668" s="396">
        <v>0</v>
      </c>
      <c r="E668" s="396">
        <v>534228</v>
      </c>
    </row>
    <row r="669" spans="1:5" ht="15">
      <c r="A669" s="390"/>
      <c r="B669" s="395" t="s">
        <v>497</v>
      </c>
      <c r="C669" s="396">
        <v>14772</v>
      </c>
      <c r="D669" s="396">
        <v>0</v>
      </c>
      <c r="E669" s="396">
        <v>14772</v>
      </c>
    </row>
    <row r="670" spans="1:5" ht="15">
      <c r="A670" s="390"/>
      <c r="B670" s="395" t="s">
        <v>499</v>
      </c>
      <c r="C670" s="396">
        <v>1590</v>
      </c>
      <c r="D670" s="396">
        <v>0</v>
      </c>
      <c r="E670" s="396">
        <v>1590</v>
      </c>
    </row>
    <row r="671" spans="1:5" ht="15">
      <c r="A671" s="390"/>
      <c r="B671" s="395" t="s">
        <v>500</v>
      </c>
      <c r="C671" s="396">
        <v>132283</v>
      </c>
      <c r="D671" s="396">
        <v>0</v>
      </c>
      <c r="E671" s="396">
        <v>132283</v>
      </c>
    </row>
    <row r="672" spans="1:5" s="98" customFormat="1" ht="30">
      <c r="A672" s="390"/>
      <c r="B672" s="395" t="s">
        <v>501</v>
      </c>
      <c r="C672" s="396">
        <v>900</v>
      </c>
      <c r="D672" s="396">
        <v>0</v>
      </c>
      <c r="E672" s="396">
        <v>900</v>
      </c>
    </row>
    <row r="673" spans="1:5" ht="12.75">
      <c r="A673" s="390"/>
      <c r="B673" s="390"/>
      <c r="C673" s="391"/>
      <c r="D673" s="391"/>
      <c r="E673" s="391"/>
    </row>
    <row r="674" spans="1:5" ht="15.75" customHeight="1">
      <c r="A674" s="413" t="s">
        <v>579</v>
      </c>
      <c r="B674" s="414"/>
      <c r="C674" s="414"/>
      <c r="D674" s="414"/>
      <c r="E674" s="414"/>
    </row>
    <row r="675" spans="1:5" s="98" customFormat="1" ht="14.25">
      <c r="A675" s="392"/>
      <c r="B675" s="393" t="s">
        <v>495</v>
      </c>
      <c r="C675" s="394">
        <v>104762</v>
      </c>
      <c r="D675" s="394">
        <v>0</v>
      </c>
      <c r="E675" s="394">
        <v>104762</v>
      </c>
    </row>
    <row r="676" spans="1:5" ht="15">
      <c r="A676" s="390"/>
      <c r="B676" s="395" t="s">
        <v>496</v>
      </c>
      <c r="C676" s="396">
        <v>78282</v>
      </c>
      <c r="D676" s="396">
        <v>0</v>
      </c>
      <c r="E676" s="396">
        <v>78282</v>
      </c>
    </row>
    <row r="677" spans="1:5" ht="15">
      <c r="A677" s="390"/>
      <c r="B677" s="395" t="s">
        <v>497</v>
      </c>
      <c r="C677" s="396">
        <v>26480</v>
      </c>
      <c r="D677" s="396">
        <v>0</v>
      </c>
      <c r="E677" s="396">
        <v>26480</v>
      </c>
    </row>
    <row r="678" spans="1:5" s="98" customFormat="1" ht="12.75">
      <c r="A678" s="390"/>
      <c r="B678" s="390"/>
      <c r="C678" s="391"/>
      <c r="D678" s="391"/>
      <c r="E678" s="391"/>
    </row>
    <row r="679" spans="1:5" ht="15.75" customHeight="1">
      <c r="A679" s="413" t="s">
        <v>580</v>
      </c>
      <c r="B679" s="414"/>
      <c r="C679" s="414"/>
      <c r="D679" s="414"/>
      <c r="E679" s="414"/>
    </row>
    <row r="680" spans="1:5" s="98" customFormat="1" ht="14.25">
      <c r="A680" s="392"/>
      <c r="B680" s="393" t="s">
        <v>495</v>
      </c>
      <c r="C680" s="394">
        <v>88001</v>
      </c>
      <c r="D680" s="394">
        <v>0</v>
      </c>
      <c r="E680" s="394">
        <v>88001</v>
      </c>
    </row>
    <row r="681" spans="1:5" ht="15">
      <c r="A681" s="390"/>
      <c r="B681" s="395" t="s">
        <v>496</v>
      </c>
      <c r="C681" s="396">
        <v>70023</v>
      </c>
      <c r="D681" s="396">
        <v>0</v>
      </c>
      <c r="E681" s="396">
        <v>70023</v>
      </c>
    </row>
    <row r="682" spans="1:5" ht="15">
      <c r="A682" s="390"/>
      <c r="B682" s="395" t="s">
        <v>497</v>
      </c>
      <c r="C682" s="396">
        <v>15378</v>
      </c>
      <c r="D682" s="396">
        <v>0</v>
      </c>
      <c r="E682" s="396">
        <v>15378</v>
      </c>
    </row>
    <row r="683" spans="1:5" ht="15">
      <c r="A683" s="390"/>
      <c r="B683" s="395" t="s">
        <v>499</v>
      </c>
      <c r="C683" s="396">
        <v>2600</v>
      </c>
      <c r="D683" s="396">
        <v>0</v>
      </c>
      <c r="E683" s="396">
        <v>2600</v>
      </c>
    </row>
    <row r="684" spans="1:5" s="98" customFormat="1" ht="12.75">
      <c r="A684" s="390"/>
      <c r="B684" s="390"/>
      <c r="C684" s="391"/>
      <c r="D684" s="391"/>
      <c r="E684" s="391"/>
    </row>
    <row r="685" spans="1:5" ht="15.75" customHeight="1">
      <c r="A685" s="413" t="s">
        <v>581</v>
      </c>
      <c r="B685" s="414"/>
      <c r="C685" s="414"/>
      <c r="D685" s="414"/>
      <c r="E685" s="414"/>
    </row>
    <row r="686" spans="1:5" s="98" customFormat="1" ht="14.25">
      <c r="A686" s="392"/>
      <c r="B686" s="393" t="s">
        <v>495</v>
      </c>
      <c r="C686" s="394">
        <v>62740</v>
      </c>
      <c r="D686" s="394">
        <v>0</v>
      </c>
      <c r="E686" s="394">
        <v>62740</v>
      </c>
    </row>
    <row r="687" spans="1:5" ht="15">
      <c r="A687" s="390"/>
      <c r="B687" s="395" t="s">
        <v>496</v>
      </c>
      <c r="C687" s="396">
        <v>42357</v>
      </c>
      <c r="D687" s="396">
        <v>0</v>
      </c>
      <c r="E687" s="396">
        <v>42357</v>
      </c>
    </row>
    <row r="688" spans="1:5" ht="15">
      <c r="A688" s="390"/>
      <c r="B688" s="395" t="s">
        <v>497</v>
      </c>
      <c r="C688" s="396">
        <v>20383</v>
      </c>
      <c r="D688" s="396">
        <v>0</v>
      </c>
      <c r="E688" s="396">
        <v>20383</v>
      </c>
    </row>
    <row r="689" spans="1:5" ht="12.75">
      <c r="A689" s="390"/>
      <c r="B689" s="390"/>
      <c r="C689" s="391"/>
      <c r="D689" s="391"/>
      <c r="E689" s="391"/>
    </row>
    <row r="690" spans="1:5" ht="15.75" customHeight="1">
      <c r="A690" s="413" t="s">
        <v>582</v>
      </c>
      <c r="B690" s="414"/>
      <c r="C690" s="414"/>
      <c r="D690" s="414"/>
      <c r="E690" s="414"/>
    </row>
    <row r="691" spans="1:5" s="98" customFormat="1" ht="14.25">
      <c r="A691" s="392"/>
      <c r="B691" s="393" t="s">
        <v>495</v>
      </c>
      <c r="C691" s="394">
        <v>119328</v>
      </c>
      <c r="D691" s="394">
        <v>0</v>
      </c>
      <c r="E691" s="394">
        <v>119328</v>
      </c>
    </row>
    <row r="692" spans="1:5" ht="15">
      <c r="A692" s="390"/>
      <c r="B692" s="395" t="s">
        <v>496</v>
      </c>
      <c r="C692" s="396">
        <v>92301</v>
      </c>
      <c r="D692" s="396">
        <v>0</v>
      </c>
      <c r="E692" s="396">
        <v>92301</v>
      </c>
    </row>
    <row r="693" spans="1:5" ht="15">
      <c r="A693" s="390"/>
      <c r="B693" s="395" t="s">
        <v>497</v>
      </c>
      <c r="C693" s="396">
        <v>21085</v>
      </c>
      <c r="D693" s="396">
        <v>0</v>
      </c>
      <c r="E693" s="396">
        <v>21085</v>
      </c>
    </row>
    <row r="694" spans="1:5" ht="15">
      <c r="A694" s="390"/>
      <c r="B694" s="395" t="s">
        <v>499</v>
      </c>
      <c r="C694" s="396">
        <v>5942</v>
      </c>
      <c r="D694" s="396">
        <v>0</v>
      </c>
      <c r="E694" s="396">
        <v>5942</v>
      </c>
    </row>
    <row r="695" spans="1:5" s="98" customFormat="1" ht="12.75">
      <c r="A695" s="390"/>
      <c r="B695" s="390"/>
      <c r="C695" s="391"/>
      <c r="D695" s="391"/>
      <c r="E695" s="391"/>
    </row>
    <row r="696" spans="1:5" ht="31.5" customHeight="1">
      <c r="A696" s="413" t="s">
        <v>583</v>
      </c>
      <c r="B696" s="414"/>
      <c r="C696" s="414"/>
      <c r="D696" s="414"/>
      <c r="E696" s="414"/>
    </row>
    <row r="697" spans="1:5" s="98" customFormat="1" ht="14.25">
      <c r="A697" s="392"/>
      <c r="B697" s="393" t="s">
        <v>495</v>
      </c>
      <c r="C697" s="394">
        <v>22385</v>
      </c>
      <c r="D697" s="394">
        <v>0</v>
      </c>
      <c r="E697" s="394">
        <v>22385</v>
      </c>
    </row>
    <row r="698" spans="1:5" ht="15">
      <c r="A698" s="390"/>
      <c r="B698" s="395" t="s">
        <v>496</v>
      </c>
      <c r="C698" s="396">
        <v>5615</v>
      </c>
      <c r="D698" s="396">
        <v>0</v>
      </c>
      <c r="E698" s="396">
        <v>5615</v>
      </c>
    </row>
    <row r="699" spans="1:5" ht="15">
      <c r="A699" s="390"/>
      <c r="B699" s="395" t="s">
        <v>497</v>
      </c>
      <c r="C699" s="396">
        <v>1620</v>
      </c>
      <c r="D699" s="396">
        <v>0</v>
      </c>
      <c r="E699" s="396">
        <v>1620</v>
      </c>
    </row>
    <row r="700" spans="1:5" ht="15">
      <c r="A700" s="390"/>
      <c r="B700" s="395" t="s">
        <v>500</v>
      </c>
      <c r="C700" s="396">
        <v>15150</v>
      </c>
      <c r="D700" s="396">
        <v>0</v>
      </c>
      <c r="E700" s="396">
        <v>15150</v>
      </c>
    </row>
    <row r="701" spans="1:5" s="98" customFormat="1" ht="12" customHeight="1">
      <c r="A701" s="390"/>
      <c r="B701" s="390"/>
      <c r="C701" s="391"/>
      <c r="D701" s="391"/>
      <c r="E701" s="391"/>
    </row>
    <row r="702" spans="1:5" ht="15.75" customHeight="1">
      <c r="A702" s="413" t="s">
        <v>584</v>
      </c>
      <c r="B702" s="414"/>
      <c r="C702" s="414"/>
      <c r="D702" s="414"/>
      <c r="E702" s="414"/>
    </row>
    <row r="703" spans="1:5" s="98" customFormat="1" ht="14.25">
      <c r="A703" s="392"/>
      <c r="B703" s="393" t="s">
        <v>495</v>
      </c>
      <c r="C703" s="394">
        <v>275241</v>
      </c>
      <c r="D703" s="394">
        <v>0</v>
      </c>
      <c r="E703" s="394">
        <v>275241</v>
      </c>
    </row>
    <row r="704" spans="1:5" ht="15">
      <c r="A704" s="390"/>
      <c r="B704" s="395" t="s">
        <v>496</v>
      </c>
      <c r="C704" s="396">
        <v>99586</v>
      </c>
      <c r="D704" s="396">
        <v>0</v>
      </c>
      <c r="E704" s="396">
        <v>99586</v>
      </c>
    </row>
    <row r="705" spans="1:5" s="98" customFormat="1" ht="15">
      <c r="A705" s="390"/>
      <c r="B705" s="395" t="s">
        <v>497</v>
      </c>
      <c r="C705" s="396">
        <v>9868</v>
      </c>
      <c r="D705" s="396">
        <v>0</v>
      </c>
      <c r="E705" s="396">
        <v>9868</v>
      </c>
    </row>
    <row r="706" spans="1:5" ht="15">
      <c r="A706" s="390"/>
      <c r="B706" s="395" t="s">
        <v>499</v>
      </c>
      <c r="C706" s="396">
        <v>1300</v>
      </c>
      <c r="D706" s="396">
        <v>0</v>
      </c>
      <c r="E706" s="396">
        <v>1300</v>
      </c>
    </row>
    <row r="707" spans="1:5" ht="15">
      <c r="A707" s="390"/>
      <c r="B707" s="395" t="s">
        <v>500</v>
      </c>
      <c r="C707" s="396">
        <v>164487</v>
      </c>
      <c r="D707" s="396">
        <v>0</v>
      </c>
      <c r="E707" s="396">
        <v>164487</v>
      </c>
    </row>
    <row r="708" spans="1:5" ht="11.25" customHeight="1">
      <c r="A708" s="390"/>
      <c r="B708" s="390"/>
      <c r="C708" s="391"/>
      <c r="D708" s="391"/>
      <c r="E708" s="391"/>
    </row>
    <row r="709" spans="1:5" ht="15.75" customHeight="1">
      <c r="A709" s="413" t="s">
        <v>585</v>
      </c>
      <c r="B709" s="414"/>
      <c r="C709" s="414"/>
      <c r="D709" s="414"/>
      <c r="E709" s="414"/>
    </row>
    <row r="710" spans="1:5" s="98" customFormat="1" ht="14.25">
      <c r="A710" s="392"/>
      <c r="B710" s="393" t="s">
        <v>495</v>
      </c>
      <c r="C710" s="394">
        <v>569077</v>
      </c>
      <c r="D710" s="394">
        <v>0</v>
      </c>
      <c r="E710" s="394">
        <v>569077</v>
      </c>
    </row>
    <row r="711" spans="1:5" ht="15">
      <c r="A711" s="390"/>
      <c r="B711" s="395" t="s">
        <v>500</v>
      </c>
      <c r="C711" s="396">
        <v>569077</v>
      </c>
      <c r="D711" s="396">
        <v>0</v>
      </c>
      <c r="E711" s="396">
        <v>569077</v>
      </c>
    </row>
    <row r="712" spans="1:5" ht="9.75" customHeight="1">
      <c r="A712" s="390"/>
      <c r="B712" s="390"/>
      <c r="C712" s="391"/>
      <c r="D712" s="391"/>
      <c r="E712" s="391"/>
    </row>
    <row r="713" spans="1:5" ht="15.75" customHeight="1">
      <c r="A713" s="413" t="s">
        <v>586</v>
      </c>
      <c r="B713" s="414"/>
      <c r="C713" s="414"/>
      <c r="D713" s="414"/>
      <c r="E713" s="414"/>
    </row>
    <row r="714" spans="1:5" s="98" customFormat="1" ht="14.25">
      <c r="A714" s="392"/>
      <c r="B714" s="393" t="s">
        <v>495</v>
      </c>
      <c r="C714" s="394">
        <v>1180332</v>
      </c>
      <c r="D714" s="394">
        <v>445</v>
      </c>
      <c r="E714" s="394">
        <v>1180777</v>
      </c>
    </row>
    <row r="715" spans="1:5" ht="15">
      <c r="A715" s="390"/>
      <c r="B715" s="395" t="s">
        <v>496</v>
      </c>
      <c r="C715" s="396">
        <v>14107</v>
      </c>
      <c r="D715" s="396">
        <v>445</v>
      </c>
      <c r="E715" s="396">
        <v>14552</v>
      </c>
    </row>
    <row r="716" spans="1:5" ht="15">
      <c r="A716" s="390"/>
      <c r="B716" s="395" t="s">
        <v>497</v>
      </c>
      <c r="C716" s="396">
        <v>3544</v>
      </c>
      <c r="D716" s="396">
        <v>0</v>
      </c>
      <c r="E716" s="396">
        <v>3544</v>
      </c>
    </row>
    <row r="717" spans="1:5" ht="15">
      <c r="A717" s="390"/>
      <c r="B717" s="395" t="s">
        <v>500</v>
      </c>
      <c r="C717" s="396">
        <v>1162681</v>
      </c>
      <c r="D717" s="396">
        <v>0</v>
      </c>
      <c r="E717" s="396">
        <v>1162681</v>
      </c>
    </row>
    <row r="718" spans="1:5" ht="12.75">
      <c r="A718" s="390"/>
      <c r="B718" s="390"/>
      <c r="C718" s="391"/>
      <c r="D718" s="391"/>
      <c r="E718" s="391"/>
    </row>
    <row r="719" spans="1:5" s="98" customFormat="1" ht="15.75" customHeight="1">
      <c r="A719" s="413" t="s">
        <v>587</v>
      </c>
      <c r="B719" s="414"/>
      <c r="C719" s="414"/>
      <c r="D719" s="414"/>
      <c r="E719" s="414"/>
    </row>
    <row r="720" spans="1:5" s="98" customFormat="1" ht="14.25">
      <c r="A720" s="392"/>
      <c r="B720" s="393" t="s">
        <v>495</v>
      </c>
      <c r="C720" s="394">
        <v>369196</v>
      </c>
      <c r="D720" s="394">
        <v>-2000</v>
      </c>
      <c r="E720" s="394">
        <v>367196</v>
      </c>
    </row>
    <row r="721" spans="1:5" ht="15">
      <c r="A721" s="390"/>
      <c r="B721" s="395" t="s">
        <v>500</v>
      </c>
      <c r="C721" s="396">
        <v>369196</v>
      </c>
      <c r="D721" s="396">
        <v>-2000</v>
      </c>
      <c r="E721" s="396">
        <v>367196</v>
      </c>
    </row>
    <row r="722" spans="1:5" ht="9" customHeight="1">
      <c r="A722" s="390"/>
      <c r="B722" s="390"/>
      <c r="C722" s="391"/>
      <c r="D722" s="391"/>
      <c r="E722" s="391"/>
    </row>
    <row r="723" spans="1:5" ht="15.75" customHeight="1">
      <c r="A723" s="413" t="s">
        <v>588</v>
      </c>
      <c r="B723" s="414"/>
      <c r="C723" s="414"/>
      <c r="D723" s="414"/>
      <c r="E723" s="414"/>
    </row>
    <row r="724" spans="1:5" s="98" customFormat="1" ht="14.25" customHeight="1">
      <c r="A724" s="392"/>
      <c r="B724" s="393" t="s">
        <v>495</v>
      </c>
      <c r="C724" s="394">
        <v>9340</v>
      </c>
      <c r="D724" s="394">
        <v>0</v>
      </c>
      <c r="E724" s="394">
        <v>9340</v>
      </c>
    </row>
    <row r="725" spans="1:5" ht="15">
      <c r="A725" s="390"/>
      <c r="B725" s="395" t="s">
        <v>497</v>
      </c>
      <c r="C725" s="396">
        <v>1295</v>
      </c>
      <c r="D725" s="396">
        <v>0</v>
      </c>
      <c r="E725" s="396">
        <v>1295</v>
      </c>
    </row>
    <row r="726" spans="1:5" ht="15">
      <c r="A726" s="390"/>
      <c r="B726" s="395" t="s">
        <v>500</v>
      </c>
      <c r="C726" s="396">
        <v>8045</v>
      </c>
      <c r="D726" s="396">
        <v>0</v>
      </c>
      <c r="E726" s="396">
        <v>8045</v>
      </c>
    </row>
    <row r="727" spans="1:5" ht="12.75">
      <c r="A727" s="390"/>
      <c r="B727" s="390"/>
      <c r="C727" s="391"/>
      <c r="D727" s="391"/>
      <c r="E727" s="391"/>
    </row>
    <row r="728" spans="1:5" ht="31.5" customHeight="1">
      <c r="A728" s="413" t="s">
        <v>589</v>
      </c>
      <c r="B728" s="414"/>
      <c r="C728" s="414"/>
      <c r="D728" s="414"/>
      <c r="E728" s="414"/>
    </row>
    <row r="729" spans="1:5" s="98" customFormat="1" ht="14.25">
      <c r="A729" s="392"/>
      <c r="B729" s="393" t="s">
        <v>495</v>
      </c>
      <c r="C729" s="394">
        <v>154982</v>
      </c>
      <c r="D729" s="394">
        <v>0</v>
      </c>
      <c r="E729" s="394">
        <v>154982</v>
      </c>
    </row>
    <row r="730" spans="1:5" ht="15">
      <c r="A730" s="390"/>
      <c r="B730" s="395" t="s">
        <v>500</v>
      </c>
      <c r="C730" s="396">
        <v>154982</v>
      </c>
      <c r="D730" s="396">
        <v>0</v>
      </c>
      <c r="E730" s="396">
        <v>154982</v>
      </c>
    </row>
    <row r="731" spans="1:5" s="98" customFormat="1" ht="12.75">
      <c r="A731" s="390"/>
      <c r="B731" s="390"/>
      <c r="C731" s="391"/>
      <c r="D731" s="391"/>
      <c r="E731" s="391"/>
    </row>
    <row r="732" spans="1:5" ht="15.75" customHeight="1">
      <c r="A732" s="413" t="s">
        <v>590</v>
      </c>
      <c r="B732" s="414"/>
      <c r="C732" s="414"/>
      <c r="D732" s="414"/>
      <c r="E732" s="414"/>
    </row>
    <row r="733" spans="1:5" s="98" customFormat="1" ht="14.25">
      <c r="A733" s="392"/>
      <c r="B733" s="393" t="s">
        <v>495</v>
      </c>
      <c r="C733" s="394">
        <v>91990</v>
      </c>
      <c r="D733" s="394">
        <v>0</v>
      </c>
      <c r="E733" s="394">
        <v>91990</v>
      </c>
    </row>
    <row r="734" spans="1:5" ht="15">
      <c r="A734" s="390"/>
      <c r="B734" s="395" t="s">
        <v>496</v>
      </c>
      <c r="C734" s="396">
        <v>51839</v>
      </c>
      <c r="D734" s="396">
        <v>0</v>
      </c>
      <c r="E734" s="396">
        <v>51839</v>
      </c>
    </row>
    <row r="735" spans="1:5" ht="15">
      <c r="A735" s="390"/>
      <c r="B735" s="395" t="s">
        <v>497</v>
      </c>
      <c r="C735" s="396">
        <v>40151</v>
      </c>
      <c r="D735" s="396">
        <v>0</v>
      </c>
      <c r="E735" s="396">
        <v>40151</v>
      </c>
    </row>
    <row r="736" spans="1:5" ht="12.75">
      <c r="A736" s="390"/>
      <c r="B736" s="390"/>
      <c r="C736" s="391"/>
      <c r="D736" s="391"/>
      <c r="E736" s="391"/>
    </row>
    <row r="737" spans="1:5" s="98" customFormat="1" ht="15.75" customHeight="1">
      <c r="A737" s="413" t="s">
        <v>591</v>
      </c>
      <c r="B737" s="414"/>
      <c r="C737" s="414"/>
      <c r="D737" s="414"/>
      <c r="E737" s="414"/>
    </row>
    <row r="738" spans="1:5" s="98" customFormat="1" ht="14.25">
      <c r="A738" s="392"/>
      <c r="B738" s="393" t="s">
        <v>495</v>
      </c>
      <c r="C738" s="394">
        <v>15573</v>
      </c>
      <c r="D738" s="394">
        <v>0</v>
      </c>
      <c r="E738" s="394">
        <v>15573</v>
      </c>
    </row>
    <row r="739" spans="1:5" ht="15">
      <c r="A739" s="390"/>
      <c r="B739" s="395" t="s">
        <v>496</v>
      </c>
      <c r="C739" s="396">
        <v>8680</v>
      </c>
      <c r="D739" s="396">
        <v>0</v>
      </c>
      <c r="E739" s="396">
        <v>8680</v>
      </c>
    </row>
    <row r="740" spans="1:5" ht="15">
      <c r="A740" s="390"/>
      <c r="B740" s="395" t="s">
        <v>497</v>
      </c>
      <c r="C740" s="396">
        <v>6893</v>
      </c>
      <c r="D740" s="396">
        <v>0</v>
      </c>
      <c r="E740" s="396">
        <v>6893</v>
      </c>
    </row>
    <row r="741" spans="1:5" ht="12.75">
      <c r="A741" s="390"/>
      <c r="B741" s="390"/>
      <c r="C741" s="391"/>
      <c r="D741" s="391"/>
      <c r="E741" s="391"/>
    </row>
    <row r="742" spans="1:5" s="98" customFormat="1" ht="15.75" customHeight="1">
      <c r="A742" s="413" t="s">
        <v>592</v>
      </c>
      <c r="B742" s="414"/>
      <c r="C742" s="414"/>
      <c r="D742" s="414"/>
      <c r="E742" s="414"/>
    </row>
    <row r="743" spans="1:5" s="98" customFormat="1" ht="14.25">
      <c r="A743" s="392"/>
      <c r="B743" s="393" t="s">
        <v>495</v>
      </c>
      <c r="C743" s="394">
        <v>225790</v>
      </c>
      <c r="D743" s="394">
        <v>0</v>
      </c>
      <c r="E743" s="394">
        <v>225790</v>
      </c>
    </row>
    <row r="744" spans="1:5" ht="15">
      <c r="A744" s="390"/>
      <c r="B744" s="395" t="s">
        <v>496</v>
      </c>
      <c r="C744" s="396">
        <v>176535</v>
      </c>
      <c r="D744" s="396">
        <v>0</v>
      </c>
      <c r="E744" s="396">
        <v>176535</v>
      </c>
    </row>
    <row r="745" spans="1:5" ht="15">
      <c r="A745" s="390"/>
      <c r="B745" s="395" t="s">
        <v>497</v>
      </c>
      <c r="C745" s="396">
        <v>44870</v>
      </c>
      <c r="D745" s="396">
        <v>0</v>
      </c>
      <c r="E745" s="396">
        <v>44870</v>
      </c>
    </row>
    <row r="746" spans="1:5" ht="15">
      <c r="A746" s="390"/>
      <c r="B746" s="395" t="s">
        <v>499</v>
      </c>
      <c r="C746" s="396">
        <v>2600</v>
      </c>
      <c r="D746" s="396">
        <v>0</v>
      </c>
      <c r="E746" s="396">
        <v>2600</v>
      </c>
    </row>
    <row r="747" spans="1:5" ht="15">
      <c r="A747" s="390"/>
      <c r="B747" s="395" t="s">
        <v>500</v>
      </c>
      <c r="C747" s="396">
        <v>1785</v>
      </c>
      <c r="D747" s="396">
        <v>0</v>
      </c>
      <c r="E747" s="396">
        <v>1785</v>
      </c>
    </row>
    <row r="748" spans="1:5" ht="12.75">
      <c r="A748" s="390"/>
      <c r="B748" s="390"/>
      <c r="C748" s="391"/>
      <c r="D748" s="391"/>
      <c r="E748" s="391"/>
    </row>
    <row r="749" spans="1:5" ht="15.75" customHeight="1">
      <c r="A749" s="413" t="s">
        <v>593</v>
      </c>
      <c r="B749" s="414"/>
      <c r="C749" s="414"/>
      <c r="D749" s="414"/>
      <c r="E749" s="414"/>
    </row>
    <row r="750" spans="1:5" s="98" customFormat="1" ht="14.25">
      <c r="A750" s="392"/>
      <c r="B750" s="393" t="s">
        <v>495</v>
      </c>
      <c r="C750" s="394">
        <v>1148122</v>
      </c>
      <c r="D750" s="394">
        <v>0</v>
      </c>
      <c r="E750" s="394">
        <v>1148122</v>
      </c>
    </row>
    <row r="751" spans="1:5" ht="15">
      <c r="A751" s="390"/>
      <c r="B751" s="395" t="s">
        <v>496</v>
      </c>
      <c r="C751" s="396">
        <v>972785</v>
      </c>
      <c r="D751" s="396">
        <v>0</v>
      </c>
      <c r="E751" s="396">
        <v>972785</v>
      </c>
    </row>
    <row r="752" spans="1:5" ht="15">
      <c r="A752" s="390"/>
      <c r="B752" s="395" t="s">
        <v>497</v>
      </c>
      <c r="C752" s="396">
        <v>150537</v>
      </c>
      <c r="D752" s="396">
        <v>0</v>
      </c>
      <c r="E752" s="396">
        <v>150537</v>
      </c>
    </row>
    <row r="753" spans="1:5" ht="15">
      <c r="A753" s="390"/>
      <c r="B753" s="395" t="s">
        <v>499</v>
      </c>
      <c r="C753" s="396">
        <v>24800</v>
      </c>
      <c r="D753" s="396">
        <v>0</v>
      </c>
      <c r="E753" s="396">
        <v>24800</v>
      </c>
    </row>
    <row r="754" spans="1:5" ht="12.75">
      <c r="A754" s="390"/>
      <c r="B754" s="390"/>
      <c r="C754" s="391"/>
      <c r="D754" s="391"/>
      <c r="E754" s="391"/>
    </row>
    <row r="755" spans="1:5" ht="15.75" customHeight="1">
      <c r="A755" s="413" t="s">
        <v>594</v>
      </c>
      <c r="B755" s="414"/>
      <c r="C755" s="414"/>
      <c r="D755" s="414"/>
      <c r="E755" s="414"/>
    </row>
    <row r="756" spans="1:5" s="98" customFormat="1" ht="14.25">
      <c r="A756" s="392"/>
      <c r="B756" s="393" t="s">
        <v>495</v>
      </c>
      <c r="C756" s="394">
        <v>25350</v>
      </c>
      <c r="D756" s="394">
        <v>0</v>
      </c>
      <c r="E756" s="394">
        <v>25350</v>
      </c>
    </row>
    <row r="757" spans="1:5" ht="15">
      <c r="A757" s="390"/>
      <c r="B757" s="395" t="s">
        <v>497</v>
      </c>
      <c r="C757" s="396">
        <v>430</v>
      </c>
      <c r="D757" s="396">
        <v>0</v>
      </c>
      <c r="E757" s="396">
        <v>430</v>
      </c>
    </row>
    <row r="758" spans="1:5" ht="15">
      <c r="A758" s="390"/>
      <c r="B758" s="395" t="s">
        <v>500</v>
      </c>
      <c r="C758" s="396">
        <v>24920</v>
      </c>
      <c r="D758" s="396">
        <v>0</v>
      </c>
      <c r="E758" s="396">
        <v>24920</v>
      </c>
    </row>
    <row r="759" spans="1:5" ht="23.25" customHeight="1">
      <c r="A759" s="390"/>
      <c r="B759" s="390"/>
      <c r="C759" s="391"/>
      <c r="D759" s="391"/>
      <c r="E759" s="391"/>
    </row>
    <row r="760" spans="1:5" ht="15.75" customHeight="1">
      <c r="A760" s="415" t="s">
        <v>595</v>
      </c>
      <c r="B760" s="416"/>
      <c r="C760" s="416"/>
      <c r="D760" s="416"/>
      <c r="E760" s="416"/>
    </row>
    <row r="761" spans="1:5" ht="14.25">
      <c r="A761" s="386"/>
      <c r="B761" s="387" t="s">
        <v>495</v>
      </c>
      <c r="C761" s="388">
        <v>9725299</v>
      </c>
      <c r="D761" s="388">
        <v>-45051</v>
      </c>
      <c r="E761" s="388">
        <v>9680248</v>
      </c>
    </row>
    <row r="762" spans="1:5" ht="14.25">
      <c r="A762" s="386"/>
      <c r="B762" s="387" t="s">
        <v>596</v>
      </c>
      <c r="C762" s="388">
        <v>9172729</v>
      </c>
      <c r="D762" s="388">
        <v>573</v>
      </c>
      <c r="E762" s="388">
        <v>9173302</v>
      </c>
    </row>
    <row r="763" spans="1:5" ht="28.5">
      <c r="A763" s="386"/>
      <c r="B763" s="387" t="s">
        <v>597</v>
      </c>
      <c r="C763" s="388">
        <v>364696</v>
      </c>
      <c r="D763" s="388">
        <v>0</v>
      </c>
      <c r="E763" s="388">
        <v>364696</v>
      </c>
    </row>
    <row r="764" spans="1:5" ht="14.25">
      <c r="A764" s="386"/>
      <c r="B764" s="387" t="s">
        <v>598</v>
      </c>
      <c r="C764" s="388">
        <v>187874</v>
      </c>
      <c r="D764" s="388">
        <v>-45624</v>
      </c>
      <c r="E764" s="388">
        <v>142250</v>
      </c>
    </row>
    <row r="765" spans="1:5" ht="12.75">
      <c r="A765" s="390"/>
      <c r="B765" s="390"/>
      <c r="C765" s="391"/>
      <c r="D765" s="391"/>
      <c r="E765" s="391"/>
    </row>
    <row r="766" spans="1:5" ht="15.75" customHeight="1">
      <c r="A766" s="413" t="s">
        <v>599</v>
      </c>
      <c r="B766" s="414"/>
      <c r="C766" s="414"/>
      <c r="D766" s="414"/>
      <c r="E766" s="414"/>
    </row>
    <row r="767" spans="1:5" ht="15">
      <c r="A767" s="390"/>
      <c r="B767" s="395" t="s">
        <v>495</v>
      </c>
      <c r="C767" s="396">
        <v>9172729</v>
      </c>
      <c r="D767" s="396">
        <v>573</v>
      </c>
      <c r="E767" s="396">
        <v>9173302</v>
      </c>
    </row>
    <row r="768" spans="1:5" ht="12.75">
      <c r="A768" s="390"/>
      <c r="B768" s="390"/>
      <c r="C768" s="391"/>
      <c r="D768" s="391"/>
      <c r="E768" s="391"/>
    </row>
    <row r="769" spans="1:5" ht="15.75" customHeight="1">
      <c r="A769" s="413" t="s">
        <v>600</v>
      </c>
      <c r="B769" s="414"/>
      <c r="C769" s="414"/>
      <c r="D769" s="414"/>
      <c r="E769" s="414"/>
    </row>
    <row r="770" spans="1:5" ht="15">
      <c r="A770" s="390"/>
      <c r="B770" s="395" t="s">
        <v>495</v>
      </c>
      <c r="C770" s="396">
        <v>364696</v>
      </c>
      <c r="D770" s="396">
        <v>0</v>
      </c>
      <c r="E770" s="396">
        <v>364696</v>
      </c>
    </row>
    <row r="771" spans="1:5" ht="12.75">
      <c r="A771" s="390"/>
      <c r="B771" s="390"/>
      <c r="C771" s="391"/>
      <c r="D771" s="391"/>
      <c r="E771" s="391"/>
    </row>
    <row r="772" spans="1:5" ht="15.75" customHeight="1">
      <c r="A772" s="413" t="s">
        <v>601</v>
      </c>
      <c r="B772" s="414"/>
      <c r="C772" s="414"/>
      <c r="D772" s="414"/>
      <c r="E772" s="414"/>
    </row>
    <row r="773" spans="1:5" ht="14.25">
      <c r="A773" s="390"/>
      <c r="B773" s="393" t="s">
        <v>495</v>
      </c>
      <c r="C773" s="394">
        <v>103710751</v>
      </c>
      <c r="D773" s="394">
        <v>86901</v>
      </c>
      <c r="E773" s="394">
        <v>103797652</v>
      </c>
    </row>
    <row r="774" spans="1:5" ht="14.25">
      <c r="A774" s="390"/>
      <c r="B774" s="393" t="s">
        <v>496</v>
      </c>
      <c r="C774" s="394">
        <v>39257114</v>
      </c>
      <c r="D774" s="394">
        <v>-28727</v>
      </c>
      <c r="E774" s="394">
        <v>39228387</v>
      </c>
    </row>
    <row r="775" spans="1:5" ht="14.25">
      <c r="A775" s="390"/>
      <c r="B775" s="393" t="s">
        <v>497</v>
      </c>
      <c r="C775" s="394">
        <v>15984361</v>
      </c>
      <c r="D775" s="394">
        <v>238798</v>
      </c>
      <c r="E775" s="394">
        <v>16223159</v>
      </c>
    </row>
    <row r="776" spans="1:5" ht="14.25">
      <c r="A776" s="390"/>
      <c r="B776" s="393" t="s">
        <v>498</v>
      </c>
      <c r="C776" s="394">
        <v>8636614</v>
      </c>
      <c r="D776" s="394">
        <v>-79881</v>
      </c>
      <c r="E776" s="394">
        <v>8556733</v>
      </c>
    </row>
    <row r="777" spans="1:5" ht="14.25">
      <c r="A777" s="390"/>
      <c r="B777" s="393" t="s">
        <v>531</v>
      </c>
      <c r="C777" s="394">
        <v>50000</v>
      </c>
      <c r="D777" s="394">
        <v>0</v>
      </c>
      <c r="E777" s="394">
        <v>50000</v>
      </c>
    </row>
    <row r="778" spans="1:5" ht="14.25">
      <c r="A778" s="390"/>
      <c r="B778" s="393" t="s">
        <v>499</v>
      </c>
      <c r="C778" s="394">
        <v>24450979</v>
      </c>
      <c r="D778" s="394">
        <v>25560</v>
      </c>
      <c r="E778" s="394">
        <v>24476539</v>
      </c>
    </row>
    <row r="779" spans="1:5" ht="14.25">
      <c r="A779" s="390"/>
      <c r="B779" s="393" t="s">
        <v>500</v>
      </c>
      <c r="C779" s="394">
        <v>3169298</v>
      </c>
      <c r="D779" s="394">
        <v>-25036</v>
      </c>
      <c r="E779" s="394">
        <v>3144262</v>
      </c>
    </row>
    <row r="780" spans="1:5" ht="28.5">
      <c r="A780" s="390"/>
      <c r="B780" s="393" t="s">
        <v>501</v>
      </c>
      <c r="C780" s="394">
        <v>2410447</v>
      </c>
      <c r="D780" s="394">
        <v>1238</v>
      </c>
      <c r="E780" s="394">
        <v>2411685</v>
      </c>
    </row>
    <row r="781" spans="1:5" ht="14.25">
      <c r="A781" s="390"/>
      <c r="B781" s="393" t="s">
        <v>895</v>
      </c>
      <c r="C781" s="394">
        <v>26639</v>
      </c>
      <c r="D781" s="394">
        <v>0</v>
      </c>
      <c r="E781" s="394">
        <v>26639</v>
      </c>
    </row>
    <row r="782" spans="1:5" ht="14.25">
      <c r="A782" s="390"/>
      <c r="B782" s="393" t="s">
        <v>596</v>
      </c>
      <c r="C782" s="394">
        <v>9172729</v>
      </c>
      <c r="D782" s="394">
        <v>573</v>
      </c>
      <c r="E782" s="394">
        <v>9173302</v>
      </c>
    </row>
    <row r="783" spans="1:5" ht="28.5">
      <c r="A783" s="390"/>
      <c r="B783" s="393" t="s">
        <v>597</v>
      </c>
      <c r="C783" s="394">
        <v>364696</v>
      </c>
      <c r="D783" s="394">
        <v>0</v>
      </c>
      <c r="E783" s="394">
        <v>364696</v>
      </c>
    </row>
    <row r="784" spans="1:5" ht="14.25">
      <c r="A784" s="390"/>
      <c r="B784" s="393" t="s">
        <v>598</v>
      </c>
      <c r="C784" s="394">
        <v>187874</v>
      </c>
      <c r="D784" s="394">
        <v>-45624</v>
      </c>
      <c r="E784" s="394">
        <v>142250</v>
      </c>
    </row>
    <row r="787" spans="1:5" ht="18.75">
      <c r="A787" s="359" t="s">
        <v>152</v>
      </c>
      <c r="E787" s="359" t="s">
        <v>153</v>
      </c>
    </row>
  </sheetData>
  <sheetProtection/>
  <mergeCells count="145">
    <mergeCell ref="A1:B1"/>
    <mergeCell ref="C3:E3"/>
    <mergeCell ref="C4:E4"/>
    <mergeCell ref="A6:E6"/>
    <mergeCell ref="A7:B7"/>
    <mergeCell ref="A8:E8"/>
    <mergeCell ref="A18:E18"/>
    <mergeCell ref="A25:E25"/>
    <mergeCell ref="A29:E29"/>
    <mergeCell ref="A33:E33"/>
    <mergeCell ref="A37:E37"/>
    <mergeCell ref="A41:E41"/>
    <mergeCell ref="A46:E46"/>
    <mergeCell ref="A51:E51"/>
    <mergeCell ref="A56:E56"/>
    <mergeCell ref="A61:E61"/>
    <mergeCell ref="A65:E65"/>
    <mergeCell ref="A69:E69"/>
    <mergeCell ref="A74:E74"/>
    <mergeCell ref="A81:E81"/>
    <mergeCell ref="A87:E87"/>
    <mergeCell ref="A91:E91"/>
    <mergeCell ref="A95:E95"/>
    <mergeCell ref="A99:E99"/>
    <mergeCell ref="A103:E103"/>
    <mergeCell ref="A107:E107"/>
    <mergeCell ref="A111:E111"/>
    <mergeCell ref="A118:E118"/>
    <mergeCell ref="A125:E125"/>
    <mergeCell ref="A131:E131"/>
    <mergeCell ref="A135:E135"/>
    <mergeCell ref="A143:E143"/>
    <mergeCell ref="A148:E148"/>
    <mergeCell ref="A156:E156"/>
    <mergeCell ref="A160:E160"/>
    <mergeCell ref="A164:E164"/>
    <mergeCell ref="A169:E169"/>
    <mergeCell ref="A173:E173"/>
    <mergeCell ref="A178:E178"/>
    <mergeCell ref="A183:E183"/>
    <mergeCell ref="A187:E187"/>
    <mergeCell ref="A193:E193"/>
    <mergeCell ref="A199:E199"/>
    <mergeCell ref="A204:E204"/>
    <mergeCell ref="A208:E208"/>
    <mergeCell ref="A214:E214"/>
    <mergeCell ref="A218:E218"/>
    <mergeCell ref="A223:E223"/>
    <mergeCell ref="A227:E227"/>
    <mergeCell ref="A231:E231"/>
    <mergeCell ref="A235:E235"/>
    <mergeCell ref="A239:E239"/>
    <mergeCell ref="A243:E243"/>
    <mergeCell ref="A247:E247"/>
    <mergeCell ref="A251:E251"/>
    <mergeCell ref="A255:E255"/>
    <mergeCell ref="A259:E259"/>
    <mergeCell ref="A263:E263"/>
    <mergeCell ref="A267:E267"/>
    <mergeCell ref="A271:E271"/>
    <mergeCell ref="A275:E275"/>
    <mergeCell ref="A279:E279"/>
    <mergeCell ref="A285:E285"/>
    <mergeCell ref="A291:E291"/>
    <mergeCell ref="A298:E298"/>
    <mergeCell ref="A305:E305"/>
    <mergeCell ref="A312:E312"/>
    <mergeCell ref="A319:E319"/>
    <mergeCell ref="A323:E323"/>
    <mergeCell ref="A329:E329"/>
    <mergeCell ref="A335:E335"/>
    <mergeCell ref="A341:E341"/>
    <mergeCell ref="A349:E349"/>
    <mergeCell ref="A353:E353"/>
    <mergeCell ref="A359:E359"/>
    <mergeCell ref="A363:E363"/>
    <mergeCell ref="A368:E368"/>
    <mergeCell ref="A373:E373"/>
    <mergeCell ref="A377:E377"/>
    <mergeCell ref="A383:E383"/>
    <mergeCell ref="A389:E389"/>
    <mergeCell ref="A395:E395"/>
    <mergeCell ref="A402:E402"/>
    <mergeCell ref="A408:E408"/>
    <mergeCell ref="A413:E413"/>
    <mergeCell ref="A419:E419"/>
    <mergeCell ref="A425:E425"/>
    <mergeCell ref="A431:E431"/>
    <mergeCell ref="A435:E435"/>
    <mergeCell ref="A441:E441"/>
    <mergeCell ref="A447:E447"/>
    <mergeCell ref="A456:E456"/>
    <mergeCell ref="A462:E462"/>
    <mergeCell ref="A469:E469"/>
    <mergeCell ref="A474:E474"/>
    <mergeCell ref="A480:E480"/>
    <mergeCell ref="A485:E485"/>
    <mergeCell ref="A492:E492"/>
    <mergeCell ref="A500:E500"/>
    <mergeCell ref="A509:E509"/>
    <mergeCell ref="A517:E517"/>
    <mergeCell ref="A525:E525"/>
    <mergeCell ref="A534:E534"/>
    <mergeCell ref="A539:E539"/>
    <mergeCell ref="A546:E546"/>
    <mergeCell ref="A555:E555"/>
    <mergeCell ref="A562:E562"/>
    <mergeCell ref="A570:E570"/>
    <mergeCell ref="A578:E578"/>
    <mergeCell ref="A585:E585"/>
    <mergeCell ref="A592:E592"/>
    <mergeCell ref="A599:E599"/>
    <mergeCell ref="A604:E604"/>
    <mergeCell ref="A611:E611"/>
    <mergeCell ref="A618:E618"/>
    <mergeCell ref="A624:E624"/>
    <mergeCell ref="A628:E628"/>
    <mergeCell ref="A633:E633"/>
    <mergeCell ref="A638:E638"/>
    <mergeCell ref="A646:E646"/>
    <mergeCell ref="A650:E650"/>
    <mergeCell ref="A654:E654"/>
    <mergeCell ref="A658:E658"/>
    <mergeCell ref="A662:E662"/>
    <mergeCell ref="A666:E666"/>
    <mergeCell ref="A674:E674"/>
    <mergeCell ref="A679:E679"/>
    <mergeCell ref="A685:E685"/>
    <mergeCell ref="A690:E690"/>
    <mergeCell ref="A696:E696"/>
    <mergeCell ref="A702:E702"/>
    <mergeCell ref="A709:E709"/>
    <mergeCell ref="A713:E713"/>
    <mergeCell ref="A719:E719"/>
    <mergeCell ref="A723:E723"/>
    <mergeCell ref="A728:E728"/>
    <mergeCell ref="A732:E732"/>
    <mergeCell ref="A737:E737"/>
    <mergeCell ref="A772:E772"/>
    <mergeCell ref="A742:E742"/>
    <mergeCell ref="A749:E749"/>
    <mergeCell ref="A755:E755"/>
    <mergeCell ref="A760:E760"/>
    <mergeCell ref="A766:E766"/>
    <mergeCell ref="A769:E769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portrait" pageOrder="overThenDown" paperSize="9" scale="78" r:id="rId1"/>
  <headerFooter>
    <oddFooter>&amp;C&amp;P</oddFooter>
  </headerFooter>
  <rowBreaks count="3" manualBreakCount="3">
    <brk id="172" max="255" man="1"/>
    <brk id="538" max="255" man="1"/>
    <brk id="5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87"/>
  <sheetViews>
    <sheetView zoomScaleSheetLayoutView="80" zoomScalePageLayoutView="0" workbookViewId="0" topLeftCell="A1">
      <pane xSplit="7" ySplit="6" topLeftCell="H7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C1" sqref="C1"/>
    </sheetView>
  </sheetViews>
  <sheetFormatPr defaultColWidth="9.140625" defaultRowHeight="15"/>
  <cols>
    <col min="1" max="1" width="5.00390625" style="139" customWidth="1"/>
    <col min="2" max="2" width="13.7109375" style="103" customWidth="1"/>
    <col min="3" max="3" width="42.140625" style="140" customWidth="1"/>
    <col min="4" max="4" width="5.421875" style="140" customWidth="1"/>
    <col min="5" max="5" width="15.421875" style="140" customWidth="1"/>
    <col min="6" max="6" width="11.7109375" style="139" customWidth="1"/>
    <col min="7" max="7" width="10.7109375" style="139" customWidth="1"/>
    <col min="8" max="8" width="11.7109375" style="140" customWidth="1"/>
    <col min="9" max="9" width="11.57421875" style="140" customWidth="1"/>
    <col min="10" max="10" width="10.57421875" style="140" customWidth="1"/>
    <col min="11" max="11" width="10.8515625" style="140" customWidth="1"/>
    <col min="12" max="12" width="10.28125" style="140" customWidth="1"/>
    <col min="13" max="15" width="10.7109375" style="140" customWidth="1"/>
    <col min="16" max="23" width="10.7109375" style="139" customWidth="1"/>
    <col min="24" max="24" width="13.00390625" style="139" customWidth="1"/>
    <col min="25" max="16384" width="9.140625" style="139" customWidth="1"/>
  </cols>
  <sheetData>
    <row r="1" spans="2:12" ht="12.75">
      <c r="B1" s="99"/>
      <c r="C1" s="100"/>
      <c r="D1" s="100"/>
      <c r="E1" s="100"/>
      <c r="F1" s="101"/>
      <c r="G1" s="101"/>
      <c r="L1" s="242" t="s">
        <v>602</v>
      </c>
    </row>
    <row r="2" spans="2:12" ht="12.75">
      <c r="B2" s="99"/>
      <c r="C2" s="100"/>
      <c r="D2" s="100"/>
      <c r="E2" s="100"/>
      <c r="F2" s="101"/>
      <c r="G2" s="101"/>
      <c r="L2" s="243" t="s">
        <v>917</v>
      </c>
    </row>
    <row r="3" spans="1:12" ht="15.75">
      <c r="A3" s="510" t="s">
        <v>856</v>
      </c>
      <c r="B3" s="510"/>
      <c r="C3" s="510"/>
      <c r="D3" s="510"/>
      <c r="E3" s="510"/>
      <c r="F3" s="510"/>
      <c r="G3" s="510"/>
      <c r="L3" s="243" t="s">
        <v>918</v>
      </c>
    </row>
    <row r="4" spans="8:24" ht="12.75">
      <c r="H4" s="100"/>
      <c r="I4" s="100"/>
      <c r="J4" s="100"/>
      <c r="K4" s="100"/>
      <c r="L4" s="100"/>
      <c r="M4" s="100"/>
      <c r="N4" s="100"/>
      <c r="O4" s="100"/>
      <c r="P4" s="101"/>
      <c r="Q4" s="101"/>
      <c r="R4" s="101"/>
      <c r="S4" s="101"/>
      <c r="T4" s="101"/>
      <c r="U4" s="101"/>
      <c r="V4" s="101"/>
      <c r="W4" s="101"/>
      <c r="X4" s="101"/>
    </row>
    <row r="5" spans="1:24" s="140" customFormat="1" ht="12.75">
      <c r="A5" s="511" t="s">
        <v>603</v>
      </c>
      <c r="B5" s="513" t="s">
        <v>604</v>
      </c>
      <c r="C5" s="515" t="s">
        <v>605</v>
      </c>
      <c r="D5" s="517" t="s">
        <v>771</v>
      </c>
      <c r="E5" s="216" t="s">
        <v>606</v>
      </c>
      <c r="F5" s="216" t="s">
        <v>607</v>
      </c>
      <c r="G5" s="216" t="s">
        <v>608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 t="s">
        <v>609</v>
      </c>
    </row>
    <row r="6" spans="1:24" s="140" customFormat="1" ht="12.75">
      <c r="A6" s="512"/>
      <c r="B6" s="514"/>
      <c r="C6" s="516"/>
      <c r="D6" s="518"/>
      <c r="E6" s="219" t="s">
        <v>610</v>
      </c>
      <c r="F6" s="219" t="s">
        <v>611</v>
      </c>
      <c r="G6" s="219" t="s">
        <v>3</v>
      </c>
      <c r="H6" s="219">
        <v>2021</v>
      </c>
      <c r="I6" s="219">
        <f>SUM(H6+1)</f>
        <v>2022</v>
      </c>
      <c r="J6" s="219">
        <f aca="true" t="shared" si="0" ref="J6:U6">SUM(I6+1)</f>
        <v>2023</v>
      </c>
      <c r="K6" s="219">
        <f t="shared" si="0"/>
        <v>2024</v>
      </c>
      <c r="L6" s="219">
        <f t="shared" si="0"/>
        <v>2025</v>
      </c>
      <c r="M6" s="219">
        <f t="shared" si="0"/>
        <v>2026</v>
      </c>
      <c r="N6" s="219">
        <f t="shared" si="0"/>
        <v>2027</v>
      </c>
      <c r="O6" s="219">
        <f t="shared" si="0"/>
        <v>2028</v>
      </c>
      <c r="P6" s="219">
        <f t="shared" si="0"/>
        <v>2029</v>
      </c>
      <c r="Q6" s="219">
        <f t="shared" si="0"/>
        <v>2030</v>
      </c>
      <c r="R6" s="219">
        <f t="shared" si="0"/>
        <v>2031</v>
      </c>
      <c r="S6" s="219">
        <f t="shared" si="0"/>
        <v>2032</v>
      </c>
      <c r="T6" s="219">
        <f t="shared" si="0"/>
        <v>2033</v>
      </c>
      <c r="U6" s="219">
        <f t="shared" si="0"/>
        <v>2034</v>
      </c>
      <c r="V6" s="219">
        <v>2035</v>
      </c>
      <c r="W6" s="219" t="s">
        <v>772</v>
      </c>
      <c r="X6" s="220" t="s">
        <v>612</v>
      </c>
    </row>
    <row r="7" spans="1:24" s="103" customFormat="1" ht="12.75">
      <c r="A7" s="442">
        <v>1</v>
      </c>
      <c r="B7" s="221" t="s">
        <v>613</v>
      </c>
      <c r="C7" s="425" t="s">
        <v>614</v>
      </c>
      <c r="D7" s="425">
        <v>648</v>
      </c>
      <c r="E7" s="427">
        <v>45201391.5</v>
      </c>
      <c r="F7" s="433" t="s">
        <v>615</v>
      </c>
      <c r="G7" s="222" t="s">
        <v>616</v>
      </c>
      <c r="H7" s="302">
        <v>5307920</v>
      </c>
      <c r="I7" s="251">
        <v>4563372</v>
      </c>
      <c r="J7" s="251">
        <v>4178496</v>
      </c>
      <c r="K7" s="251">
        <v>3888532</v>
      </c>
      <c r="L7" s="251">
        <v>3795232</v>
      </c>
      <c r="M7" s="251">
        <v>3470364</v>
      </c>
      <c r="N7" s="251">
        <v>1653540</v>
      </c>
      <c r="O7" s="251">
        <v>1134524</v>
      </c>
      <c r="P7" s="251">
        <v>936532</v>
      </c>
      <c r="Q7" s="251">
        <v>747604</v>
      </c>
      <c r="R7" s="251">
        <v>747604</v>
      </c>
      <c r="S7" s="251">
        <v>747604</v>
      </c>
      <c r="T7" s="251">
        <v>725552</v>
      </c>
      <c r="U7" s="251">
        <v>269152</v>
      </c>
      <c r="V7" s="251"/>
      <c r="W7" s="251"/>
      <c r="X7" s="314">
        <f aca="true" t="shared" si="1" ref="X7:X38">SUM(H7:W7)</f>
        <v>32166028</v>
      </c>
    </row>
    <row r="8" spans="1:24" s="103" customFormat="1" ht="12.75">
      <c r="A8" s="443"/>
      <c r="B8" s="223" t="s">
        <v>617</v>
      </c>
      <c r="C8" s="426"/>
      <c r="D8" s="426"/>
      <c r="E8" s="428"/>
      <c r="F8" s="434"/>
      <c r="G8" s="225">
        <v>0.0025</v>
      </c>
      <c r="H8" s="303">
        <v>79484.08</v>
      </c>
      <c r="I8" s="252">
        <v>98200</v>
      </c>
      <c r="J8" s="252">
        <v>109870</v>
      </c>
      <c r="K8" s="252">
        <v>89135</v>
      </c>
      <c r="L8" s="252">
        <v>69190</v>
      </c>
      <c r="M8" s="252">
        <v>50270</v>
      </c>
      <c r="N8" s="252">
        <v>34515</v>
      </c>
      <c r="O8" s="252">
        <v>26245</v>
      </c>
      <c r="P8" s="252">
        <v>20485</v>
      </c>
      <c r="Q8" s="252">
        <v>15885</v>
      </c>
      <c r="R8" s="252">
        <v>12040</v>
      </c>
      <c r="S8" s="252">
        <v>8275</v>
      </c>
      <c r="T8" s="252">
        <v>4485</v>
      </c>
      <c r="U8" s="252">
        <v>1285</v>
      </c>
      <c r="V8" s="252">
        <v>80</v>
      </c>
      <c r="W8" s="252"/>
      <c r="X8" s="315">
        <f t="shared" si="1"/>
        <v>619444.0800000001</v>
      </c>
    </row>
    <row r="9" spans="1:24" s="103" customFormat="1" ht="12.75">
      <c r="A9" s="442">
        <v>2</v>
      </c>
      <c r="B9" s="221" t="s">
        <v>613</v>
      </c>
      <c r="C9" s="433" t="s">
        <v>773</v>
      </c>
      <c r="D9" s="433">
        <v>628</v>
      </c>
      <c r="E9" s="427">
        <v>119421</v>
      </c>
      <c r="F9" s="509" t="s">
        <v>618</v>
      </c>
      <c r="G9" s="226" t="s">
        <v>616</v>
      </c>
      <c r="H9" s="300">
        <v>6728</v>
      </c>
      <c r="I9" s="318">
        <v>6728</v>
      </c>
      <c r="J9" s="318">
        <v>6728</v>
      </c>
      <c r="K9" s="318">
        <v>6728</v>
      </c>
      <c r="L9" s="318">
        <v>6728</v>
      </c>
      <c r="M9" s="318">
        <v>6728</v>
      </c>
      <c r="N9" s="319">
        <v>6728</v>
      </c>
      <c r="O9" s="318">
        <v>6728</v>
      </c>
      <c r="P9" s="318">
        <v>6728</v>
      </c>
      <c r="Q9" s="318">
        <v>6728</v>
      </c>
      <c r="R9" s="318">
        <v>6728</v>
      </c>
      <c r="S9" s="318">
        <v>6728</v>
      </c>
      <c r="T9" s="318">
        <v>6728</v>
      </c>
      <c r="U9" s="318">
        <v>6728</v>
      </c>
      <c r="V9" s="318">
        <v>1682</v>
      </c>
      <c r="W9" s="318"/>
      <c r="X9" s="320">
        <f t="shared" si="1"/>
        <v>95874</v>
      </c>
    </row>
    <row r="10" spans="1:24" s="103" customFormat="1" ht="12.75">
      <c r="A10" s="443"/>
      <c r="B10" s="224" t="s">
        <v>619</v>
      </c>
      <c r="C10" s="434"/>
      <c r="D10" s="434"/>
      <c r="E10" s="458"/>
      <c r="F10" s="495"/>
      <c r="G10" s="322">
        <v>0.0025</v>
      </c>
      <c r="H10" s="304">
        <v>240.38</v>
      </c>
      <c r="I10" s="323">
        <f>450-60</f>
        <v>390</v>
      </c>
      <c r="J10" s="323">
        <v>415</v>
      </c>
      <c r="K10" s="323">
        <v>380</v>
      </c>
      <c r="L10" s="323">
        <v>345</v>
      </c>
      <c r="M10" s="323">
        <v>315</v>
      </c>
      <c r="N10" s="324">
        <v>280</v>
      </c>
      <c r="O10" s="323">
        <v>245</v>
      </c>
      <c r="P10" s="323">
        <v>210</v>
      </c>
      <c r="Q10" s="323">
        <v>175</v>
      </c>
      <c r="R10" s="323">
        <v>140</v>
      </c>
      <c r="S10" s="323">
        <v>110</v>
      </c>
      <c r="T10" s="323">
        <v>75</v>
      </c>
      <c r="U10" s="323">
        <v>40</v>
      </c>
      <c r="V10" s="323">
        <v>10</v>
      </c>
      <c r="W10" s="323"/>
      <c r="X10" s="325">
        <f t="shared" si="1"/>
        <v>3370.38</v>
      </c>
    </row>
    <row r="11" spans="1:24" s="103" customFormat="1" ht="12.75">
      <c r="A11" s="442">
        <v>3</v>
      </c>
      <c r="B11" s="221" t="s">
        <v>613</v>
      </c>
      <c r="C11" s="433" t="s">
        <v>774</v>
      </c>
      <c r="D11" s="433">
        <v>629</v>
      </c>
      <c r="E11" s="427">
        <v>463710</v>
      </c>
      <c r="F11" s="433" t="s">
        <v>620</v>
      </c>
      <c r="G11" s="226" t="s">
        <v>616</v>
      </c>
      <c r="H11" s="255">
        <v>25412</v>
      </c>
      <c r="I11" s="255">
        <v>25412</v>
      </c>
      <c r="J11" s="255">
        <v>25412</v>
      </c>
      <c r="K11" s="255">
        <v>25412</v>
      </c>
      <c r="L11" s="255">
        <v>25412</v>
      </c>
      <c r="M11" s="255">
        <v>25412</v>
      </c>
      <c r="N11" s="329">
        <v>25412</v>
      </c>
      <c r="O11" s="255">
        <v>25412</v>
      </c>
      <c r="P11" s="255">
        <v>25412</v>
      </c>
      <c r="Q11" s="255">
        <v>25412</v>
      </c>
      <c r="R11" s="255">
        <v>25412</v>
      </c>
      <c r="S11" s="255">
        <v>25412</v>
      </c>
      <c r="T11" s="255">
        <v>25412</v>
      </c>
      <c r="U11" s="255">
        <v>25412</v>
      </c>
      <c r="V11" s="255">
        <v>6353</v>
      </c>
      <c r="W11" s="255"/>
      <c r="X11" s="275">
        <f t="shared" si="1"/>
        <v>362121</v>
      </c>
    </row>
    <row r="12" spans="1:24" s="103" customFormat="1" ht="12.75">
      <c r="A12" s="443"/>
      <c r="B12" s="224" t="s">
        <v>621</v>
      </c>
      <c r="C12" s="434"/>
      <c r="D12" s="434"/>
      <c r="E12" s="428"/>
      <c r="F12" s="434"/>
      <c r="G12" s="225">
        <v>0.0025</v>
      </c>
      <c r="H12" s="330">
        <v>907.96</v>
      </c>
      <c r="I12" s="254">
        <f>1690-220</f>
        <v>1470</v>
      </c>
      <c r="J12" s="254">
        <v>1560</v>
      </c>
      <c r="K12" s="254">
        <v>1435</v>
      </c>
      <c r="L12" s="254">
        <v>1305</v>
      </c>
      <c r="M12" s="254">
        <v>1175</v>
      </c>
      <c r="N12" s="236">
        <v>1045</v>
      </c>
      <c r="O12" s="254">
        <v>920</v>
      </c>
      <c r="P12" s="254">
        <v>790</v>
      </c>
      <c r="Q12" s="254">
        <v>660</v>
      </c>
      <c r="R12" s="254">
        <v>530</v>
      </c>
      <c r="S12" s="254">
        <v>400</v>
      </c>
      <c r="T12" s="254">
        <v>275</v>
      </c>
      <c r="U12" s="254">
        <v>145</v>
      </c>
      <c r="V12" s="254">
        <v>25</v>
      </c>
      <c r="W12" s="254"/>
      <c r="X12" s="276">
        <f t="shared" si="1"/>
        <v>12642.96</v>
      </c>
    </row>
    <row r="13" spans="1:24" s="141" customFormat="1" ht="12.75">
      <c r="A13" s="442">
        <v>4</v>
      </c>
      <c r="B13" s="221" t="s">
        <v>613</v>
      </c>
      <c r="C13" s="433" t="s">
        <v>775</v>
      </c>
      <c r="D13" s="433">
        <v>630</v>
      </c>
      <c r="E13" s="457">
        <v>162998</v>
      </c>
      <c r="F13" s="494" t="s">
        <v>622</v>
      </c>
      <c r="G13" s="327" t="s">
        <v>616</v>
      </c>
      <c r="H13" s="294">
        <v>6976</v>
      </c>
      <c r="I13" s="328">
        <v>6976</v>
      </c>
      <c r="J13" s="328">
        <v>6976</v>
      </c>
      <c r="K13" s="328">
        <v>6976</v>
      </c>
      <c r="L13" s="328">
        <v>6976</v>
      </c>
      <c r="M13" s="328">
        <v>6976</v>
      </c>
      <c r="N13" s="328">
        <v>6976</v>
      </c>
      <c r="O13" s="328">
        <v>6976</v>
      </c>
      <c r="P13" s="328">
        <v>6976</v>
      </c>
      <c r="Q13" s="328">
        <v>6976</v>
      </c>
      <c r="R13" s="328">
        <v>6976</v>
      </c>
      <c r="S13" s="328">
        <v>6976</v>
      </c>
      <c r="T13" s="328">
        <v>6976</v>
      </c>
      <c r="U13" s="328">
        <v>6976</v>
      </c>
      <c r="V13" s="328">
        <v>3488</v>
      </c>
      <c r="W13" s="328"/>
      <c r="X13" s="320">
        <f t="shared" si="1"/>
        <v>101152</v>
      </c>
    </row>
    <row r="14" spans="1:24" s="103" customFormat="1" ht="12.75">
      <c r="A14" s="454"/>
      <c r="B14" s="321" t="s">
        <v>623</v>
      </c>
      <c r="C14" s="495"/>
      <c r="D14" s="495"/>
      <c r="E14" s="458"/>
      <c r="F14" s="495"/>
      <c r="G14" s="322">
        <v>0.0025</v>
      </c>
      <c r="H14" s="306">
        <v>253.68</v>
      </c>
      <c r="I14" s="331">
        <v>355</v>
      </c>
      <c r="J14" s="331">
        <v>440</v>
      </c>
      <c r="K14" s="331">
        <v>405</v>
      </c>
      <c r="L14" s="331">
        <v>370</v>
      </c>
      <c r="M14" s="331">
        <v>335</v>
      </c>
      <c r="N14" s="331">
        <v>300</v>
      </c>
      <c r="O14" s="331">
        <v>265</v>
      </c>
      <c r="P14" s="331">
        <v>225</v>
      </c>
      <c r="Q14" s="331">
        <v>190</v>
      </c>
      <c r="R14" s="331">
        <v>155</v>
      </c>
      <c r="S14" s="331">
        <v>120</v>
      </c>
      <c r="T14" s="331">
        <v>85</v>
      </c>
      <c r="U14" s="331">
        <v>50</v>
      </c>
      <c r="V14" s="331">
        <v>15</v>
      </c>
      <c r="W14" s="331"/>
      <c r="X14" s="325">
        <f t="shared" si="1"/>
        <v>3563.6800000000003</v>
      </c>
    </row>
    <row r="15" spans="1:24" s="103" customFormat="1" ht="12.75">
      <c r="A15" s="442">
        <v>5</v>
      </c>
      <c r="B15" s="221" t="s">
        <v>624</v>
      </c>
      <c r="C15" s="433" t="s">
        <v>776</v>
      </c>
      <c r="D15" s="433">
        <v>631</v>
      </c>
      <c r="E15" s="427">
        <f>89504-0.24</f>
        <v>89503.76</v>
      </c>
      <c r="F15" s="433" t="s">
        <v>625</v>
      </c>
      <c r="G15" s="226" t="s">
        <v>616</v>
      </c>
      <c r="H15" s="299">
        <v>5116</v>
      </c>
      <c r="I15" s="257">
        <v>5116</v>
      </c>
      <c r="J15" s="257">
        <v>5116</v>
      </c>
      <c r="K15" s="257">
        <v>5116</v>
      </c>
      <c r="L15" s="257">
        <v>5116</v>
      </c>
      <c r="M15" s="257">
        <v>5116</v>
      </c>
      <c r="N15" s="257">
        <v>5116</v>
      </c>
      <c r="O15" s="257">
        <v>5116</v>
      </c>
      <c r="P15" s="257">
        <v>5116</v>
      </c>
      <c r="Q15" s="257">
        <v>5116</v>
      </c>
      <c r="R15" s="257">
        <v>5116</v>
      </c>
      <c r="S15" s="257">
        <v>5116</v>
      </c>
      <c r="T15" s="257">
        <f>5116</f>
        <v>5116</v>
      </c>
      <c r="U15" s="257">
        <v>5116</v>
      </c>
      <c r="V15" s="257">
        <v>2557.76</v>
      </c>
      <c r="W15" s="257"/>
      <c r="X15" s="314">
        <f t="shared" si="1"/>
        <v>74181.76</v>
      </c>
    </row>
    <row r="16" spans="1:24" s="103" customFormat="1" ht="12.75">
      <c r="A16" s="443"/>
      <c r="B16" s="224" t="s">
        <v>626</v>
      </c>
      <c r="C16" s="434"/>
      <c r="D16" s="434"/>
      <c r="E16" s="428"/>
      <c r="F16" s="434"/>
      <c r="G16" s="225">
        <v>0.0025</v>
      </c>
      <c r="H16" s="307">
        <v>186.03</v>
      </c>
      <c r="I16" s="256">
        <v>260</v>
      </c>
      <c r="J16" s="256">
        <v>325</v>
      </c>
      <c r="K16" s="256">
        <v>300</v>
      </c>
      <c r="L16" s="256">
        <v>270</v>
      </c>
      <c r="M16" s="256">
        <v>245</v>
      </c>
      <c r="N16" s="256">
        <v>220</v>
      </c>
      <c r="O16" s="256">
        <v>195</v>
      </c>
      <c r="P16" s="256">
        <v>165</v>
      </c>
      <c r="Q16" s="256">
        <v>140</v>
      </c>
      <c r="R16" s="256">
        <v>115</v>
      </c>
      <c r="S16" s="256">
        <v>90</v>
      </c>
      <c r="T16" s="256">
        <v>65</v>
      </c>
      <c r="U16" s="256">
        <v>35</v>
      </c>
      <c r="V16" s="256">
        <v>10</v>
      </c>
      <c r="W16" s="256"/>
      <c r="X16" s="315">
        <f t="shared" si="1"/>
        <v>2621.0299999999997</v>
      </c>
    </row>
    <row r="17" spans="1:24" s="103" customFormat="1" ht="12.75">
      <c r="A17" s="453">
        <v>6</v>
      </c>
      <c r="B17" s="326" t="s">
        <v>613</v>
      </c>
      <c r="C17" s="494" t="s">
        <v>777</v>
      </c>
      <c r="D17" s="494">
        <v>632</v>
      </c>
      <c r="E17" s="457">
        <v>1331708.19</v>
      </c>
      <c r="F17" s="494" t="s">
        <v>627</v>
      </c>
      <c r="G17" s="327" t="s">
        <v>616</v>
      </c>
      <c r="H17" s="300">
        <v>4000</v>
      </c>
      <c r="I17" s="318">
        <v>20000</v>
      </c>
      <c r="J17" s="318">
        <v>20000</v>
      </c>
      <c r="K17" s="318">
        <v>20000</v>
      </c>
      <c r="L17" s="318">
        <v>20000</v>
      </c>
      <c r="M17" s="318">
        <v>50000</v>
      </c>
      <c r="N17" s="319">
        <v>79000</v>
      </c>
      <c r="O17" s="318">
        <v>79000</v>
      </c>
      <c r="P17" s="318">
        <v>79000</v>
      </c>
      <c r="Q17" s="318">
        <v>79000</v>
      </c>
      <c r="R17" s="318">
        <v>79000</v>
      </c>
      <c r="S17" s="332">
        <v>79000</v>
      </c>
      <c r="T17" s="332">
        <f>79000</f>
        <v>79000</v>
      </c>
      <c r="U17" s="332">
        <v>79000</v>
      </c>
      <c r="V17" s="332">
        <v>59250</v>
      </c>
      <c r="W17" s="332"/>
      <c r="X17" s="320">
        <f t="shared" si="1"/>
        <v>825250</v>
      </c>
    </row>
    <row r="18" spans="1:24" s="103" customFormat="1" ht="12.75">
      <c r="A18" s="454"/>
      <c r="B18" s="321" t="s">
        <v>628</v>
      </c>
      <c r="C18" s="495"/>
      <c r="D18" s="495"/>
      <c r="E18" s="458"/>
      <c r="F18" s="495"/>
      <c r="G18" s="322">
        <v>0.0025</v>
      </c>
      <c r="H18" s="304">
        <v>2090.22</v>
      </c>
      <c r="I18" s="323">
        <v>2590</v>
      </c>
      <c r="J18" s="323">
        <v>4050</v>
      </c>
      <c r="K18" s="323">
        <v>3960</v>
      </c>
      <c r="L18" s="323">
        <v>3845</v>
      </c>
      <c r="M18" s="323">
        <v>3715</v>
      </c>
      <c r="N18" s="324">
        <v>3435</v>
      </c>
      <c r="O18" s="323">
        <v>3055</v>
      </c>
      <c r="P18" s="323">
        <v>2645</v>
      </c>
      <c r="Q18" s="323">
        <v>2245</v>
      </c>
      <c r="R18" s="323">
        <v>1845</v>
      </c>
      <c r="S18" s="323">
        <v>1445</v>
      </c>
      <c r="T18" s="323">
        <v>1040</v>
      </c>
      <c r="U18" s="323">
        <v>640</v>
      </c>
      <c r="V18" s="323">
        <v>240</v>
      </c>
      <c r="W18" s="323"/>
      <c r="X18" s="325">
        <f t="shared" si="1"/>
        <v>36840.22</v>
      </c>
    </row>
    <row r="19" spans="1:24" s="103" customFormat="1" ht="12.75">
      <c r="A19" s="442">
        <v>7</v>
      </c>
      <c r="B19" s="221" t="s">
        <v>613</v>
      </c>
      <c r="C19" s="503" t="s">
        <v>391</v>
      </c>
      <c r="D19" s="433">
        <v>633</v>
      </c>
      <c r="E19" s="507">
        <f>8339124-3412924+1558975</f>
        <v>6485175</v>
      </c>
      <c r="F19" s="433" t="s">
        <v>629</v>
      </c>
      <c r="G19" s="226" t="s">
        <v>616</v>
      </c>
      <c r="H19" s="308">
        <f>1000+11056.71</f>
        <v>12056.71</v>
      </c>
      <c r="I19" s="258">
        <v>5000</v>
      </c>
      <c r="J19" s="258">
        <v>5000</v>
      </c>
      <c r="K19" s="258">
        <v>8000</v>
      </c>
      <c r="L19" s="258">
        <v>20000</v>
      </c>
      <c r="M19" s="258">
        <v>60000</v>
      </c>
      <c r="N19" s="258">
        <v>238000</v>
      </c>
      <c r="O19" s="258">
        <v>238000</v>
      </c>
      <c r="P19" s="258">
        <v>304544</v>
      </c>
      <c r="Q19" s="258">
        <v>304544</v>
      </c>
      <c r="R19" s="258">
        <v>304544</v>
      </c>
      <c r="S19" s="258">
        <v>304544</v>
      </c>
      <c r="T19" s="258">
        <v>304544</v>
      </c>
      <c r="U19" s="258">
        <v>304544</v>
      </c>
      <c r="V19" s="258">
        <v>304544</v>
      </c>
      <c r="W19" s="259">
        <f>3426119-11056.71</f>
        <v>3415062.29</v>
      </c>
      <c r="X19" s="314">
        <f t="shared" si="1"/>
        <v>6132927</v>
      </c>
    </row>
    <row r="20" spans="1:24" s="103" customFormat="1" ht="12.75">
      <c r="A20" s="443"/>
      <c r="B20" s="224" t="s">
        <v>630</v>
      </c>
      <c r="C20" s="426"/>
      <c r="D20" s="434"/>
      <c r="E20" s="508"/>
      <c r="F20" s="434"/>
      <c r="G20" s="225">
        <v>0.0025</v>
      </c>
      <c r="H20" s="309">
        <v>15528.53</v>
      </c>
      <c r="I20" s="260">
        <v>23290</v>
      </c>
      <c r="J20" s="260">
        <f>31060-60</f>
        <v>31000</v>
      </c>
      <c r="K20" s="260">
        <f>31115-55</f>
        <v>31060</v>
      </c>
      <c r="L20" s="260">
        <f>30980-60</f>
        <v>30920</v>
      </c>
      <c r="M20" s="260">
        <f>30835-55</f>
        <v>30780</v>
      </c>
      <c r="N20" s="260">
        <f>30355-55</f>
        <v>30300</v>
      </c>
      <c r="O20" s="260">
        <f>29280-60</f>
        <v>29220</v>
      </c>
      <c r="P20" s="260">
        <f>27920-55</f>
        <v>27865</v>
      </c>
      <c r="Q20" s="260">
        <f>26395-55</f>
        <v>26340</v>
      </c>
      <c r="R20" s="260">
        <f>24850-55</f>
        <v>24795</v>
      </c>
      <c r="S20" s="260">
        <f>23375-60</f>
        <v>23315</v>
      </c>
      <c r="T20" s="260">
        <f>21765-55</f>
        <v>21710</v>
      </c>
      <c r="U20" s="260">
        <f>20220-55</f>
        <v>20165</v>
      </c>
      <c r="V20" s="260">
        <f>18675-55</f>
        <v>18620</v>
      </c>
      <c r="W20" s="260">
        <f>103885-645</f>
        <v>103240</v>
      </c>
      <c r="X20" s="315">
        <f t="shared" si="1"/>
        <v>488148.53</v>
      </c>
    </row>
    <row r="21" spans="1:24" s="103" customFormat="1" ht="12.75">
      <c r="A21" s="453">
        <v>8</v>
      </c>
      <c r="B21" s="326" t="s">
        <v>613</v>
      </c>
      <c r="C21" s="506" t="s">
        <v>778</v>
      </c>
      <c r="D21" s="494">
        <v>634</v>
      </c>
      <c r="E21" s="457">
        <f>206622-0.62</f>
        <v>206621.38</v>
      </c>
      <c r="F21" s="494" t="s">
        <v>631</v>
      </c>
      <c r="G21" s="327" t="s">
        <v>616</v>
      </c>
      <c r="H21" s="333">
        <v>1000</v>
      </c>
      <c r="I21" s="334">
        <v>13640</v>
      </c>
      <c r="J21" s="334">
        <v>13640</v>
      </c>
      <c r="K21" s="334">
        <v>13640</v>
      </c>
      <c r="L21" s="334">
        <v>13640</v>
      </c>
      <c r="M21" s="334">
        <v>13640</v>
      </c>
      <c r="N21" s="334">
        <v>13640</v>
      </c>
      <c r="O21" s="334">
        <v>13640</v>
      </c>
      <c r="P21" s="334">
        <v>13640</v>
      </c>
      <c r="Q21" s="334">
        <v>13640</v>
      </c>
      <c r="R21" s="334">
        <v>13640</v>
      </c>
      <c r="S21" s="334">
        <v>13640</v>
      </c>
      <c r="T21" s="334">
        <v>13640</v>
      </c>
      <c r="U21" s="334">
        <v>13640</v>
      </c>
      <c r="V21" s="334">
        <v>13640</v>
      </c>
      <c r="W21" s="335">
        <v>13661.38</v>
      </c>
      <c r="X21" s="320">
        <f t="shared" si="1"/>
        <v>205621.38</v>
      </c>
    </row>
    <row r="22" spans="1:24" s="103" customFormat="1" ht="12.75">
      <c r="A22" s="454"/>
      <c r="B22" s="321" t="s">
        <v>632</v>
      </c>
      <c r="C22" s="456"/>
      <c r="D22" s="495"/>
      <c r="E22" s="458"/>
      <c r="F22" s="495"/>
      <c r="G22" s="322">
        <v>0.0025</v>
      </c>
      <c r="H22" s="336">
        <v>520.79</v>
      </c>
      <c r="I22" s="337">
        <v>765</v>
      </c>
      <c r="J22" s="337">
        <v>960</v>
      </c>
      <c r="K22" s="337">
        <v>895</v>
      </c>
      <c r="L22" s="337">
        <v>820</v>
      </c>
      <c r="M22" s="337">
        <v>755</v>
      </c>
      <c r="N22" s="337">
        <v>685</v>
      </c>
      <c r="O22" s="337">
        <v>620</v>
      </c>
      <c r="P22" s="337">
        <v>545</v>
      </c>
      <c r="Q22" s="337">
        <v>475</v>
      </c>
      <c r="R22" s="337">
        <v>405</v>
      </c>
      <c r="S22" s="337">
        <v>340</v>
      </c>
      <c r="T22" s="337">
        <v>270</v>
      </c>
      <c r="U22" s="337">
        <v>200</v>
      </c>
      <c r="V22" s="337">
        <v>130</v>
      </c>
      <c r="W22" s="337">
        <v>60</v>
      </c>
      <c r="X22" s="325">
        <f t="shared" si="1"/>
        <v>8445.79</v>
      </c>
    </row>
    <row r="23" spans="1:24" s="103" customFormat="1" ht="12.75">
      <c r="A23" s="442">
        <v>9</v>
      </c>
      <c r="B23" s="221" t="s">
        <v>613</v>
      </c>
      <c r="C23" s="425" t="s">
        <v>779</v>
      </c>
      <c r="D23" s="433">
        <v>635</v>
      </c>
      <c r="E23" s="427">
        <v>307624.96</v>
      </c>
      <c r="F23" s="433" t="s">
        <v>633</v>
      </c>
      <c r="G23" s="226" t="s">
        <v>616</v>
      </c>
      <c r="H23" s="298">
        <v>1000</v>
      </c>
      <c r="I23" s="253">
        <v>5000</v>
      </c>
      <c r="J23" s="253">
        <v>5000</v>
      </c>
      <c r="K23" s="253">
        <v>10000</v>
      </c>
      <c r="L23" s="253">
        <v>23824</v>
      </c>
      <c r="M23" s="253">
        <v>23824</v>
      </c>
      <c r="N23" s="233">
        <v>23824</v>
      </c>
      <c r="O23" s="253">
        <v>23824</v>
      </c>
      <c r="P23" s="253">
        <v>23824</v>
      </c>
      <c r="Q23" s="253">
        <v>23824</v>
      </c>
      <c r="R23" s="253">
        <v>23824</v>
      </c>
      <c r="S23" s="255">
        <v>23824</v>
      </c>
      <c r="T23" s="255">
        <f>23824</f>
        <v>23824</v>
      </c>
      <c r="U23" s="255">
        <v>23824</v>
      </c>
      <c r="V23" s="255">
        <v>23824</v>
      </c>
      <c r="W23" s="255">
        <v>23810.96</v>
      </c>
      <c r="X23" s="314">
        <f t="shared" si="1"/>
        <v>306874.96</v>
      </c>
    </row>
    <row r="24" spans="1:24" s="103" customFormat="1" ht="12.75">
      <c r="A24" s="443"/>
      <c r="B24" s="224" t="s">
        <v>634</v>
      </c>
      <c r="C24" s="426"/>
      <c r="D24" s="434"/>
      <c r="E24" s="428"/>
      <c r="F24" s="434"/>
      <c r="G24" s="225">
        <v>0.0025</v>
      </c>
      <c r="H24" s="305">
        <v>777.46</v>
      </c>
      <c r="I24" s="254">
        <v>1160</v>
      </c>
      <c r="J24" s="254">
        <v>1525</v>
      </c>
      <c r="K24" s="254">
        <v>1495</v>
      </c>
      <c r="L24" s="254">
        <v>1430</v>
      </c>
      <c r="M24" s="254">
        <v>1310</v>
      </c>
      <c r="N24" s="236">
        <v>1190</v>
      </c>
      <c r="O24" s="254">
        <v>1075</v>
      </c>
      <c r="P24" s="254">
        <v>950</v>
      </c>
      <c r="Q24" s="254">
        <v>830</v>
      </c>
      <c r="R24" s="254">
        <v>710</v>
      </c>
      <c r="S24" s="254">
        <v>590</v>
      </c>
      <c r="T24" s="254">
        <v>465</v>
      </c>
      <c r="U24" s="254">
        <v>345</v>
      </c>
      <c r="V24" s="254">
        <v>225</v>
      </c>
      <c r="W24" s="254">
        <v>110</v>
      </c>
      <c r="X24" s="315">
        <f t="shared" si="1"/>
        <v>14187.46</v>
      </c>
    </row>
    <row r="25" spans="1:24" s="103" customFormat="1" ht="12.75">
      <c r="A25" s="453">
        <v>10</v>
      </c>
      <c r="B25" s="326" t="s">
        <v>613</v>
      </c>
      <c r="C25" s="455" t="s">
        <v>780</v>
      </c>
      <c r="D25" s="494">
        <v>636</v>
      </c>
      <c r="E25" s="457">
        <v>69989</v>
      </c>
      <c r="F25" s="494" t="s">
        <v>633</v>
      </c>
      <c r="G25" s="327" t="s">
        <v>616</v>
      </c>
      <c r="H25" s="300">
        <v>1000</v>
      </c>
      <c r="I25" s="318">
        <v>1000</v>
      </c>
      <c r="J25" s="318">
        <v>2000</v>
      </c>
      <c r="K25" s="318">
        <v>2000</v>
      </c>
      <c r="L25" s="318">
        <v>5000</v>
      </c>
      <c r="M25" s="318">
        <v>5272</v>
      </c>
      <c r="N25" s="319">
        <v>5272</v>
      </c>
      <c r="O25" s="318">
        <v>5272</v>
      </c>
      <c r="P25" s="318">
        <v>5272</v>
      </c>
      <c r="Q25" s="318">
        <v>5272</v>
      </c>
      <c r="R25" s="318">
        <v>5272</v>
      </c>
      <c r="S25" s="318">
        <v>5272</v>
      </c>
      <c r="T25" s="318">
        <v>5272</v>
      </c>
      <c r="U25" s="318">
        <v>5272</v>
      </c>
      <c r="V25" s="318">
        <v>5272</v>
      </c>
      <c r="W25" s="318">
        <v>5269</v>
      </c>
      <c r="X25" s="320">
        <f t="shared" si="1"/>
        <v>68989</v>
      </c>
    </row>
    <row r="26" spans="1:24" s="103" customFormat="1" ht="12.75">
      <c r="A26" s="454"/>
      <c r="B26" s="321" t="s">
        <v>635</v>
      </c>
      <c r="C26" s="456"/>
      <c r="D26" s="495"/>
      <c r="E26" s="458"/>
      <c r="F26" s="495"/>
      <c r="G26" s="322">
        <v>0.0025</v>
      </c>
      <c r="H26" s="304">
        <v>174.49</v>
      </c>
      <c r="I26" s="323">
        <v>260</v>
      </c>
      <c r="J26" s="323">
        <v>340</v>
      </c>
      <c r="K26" s="323">
        <v>330</v>
      </c>
      <c r="L26" s="323">
        <v>315</v>
      </c>
      <c r="M26" s="323">
        <v>290</v>
      </c>
      <c r="N26" s="324">
        <v>265</v>
      </c>
      <c r="O26" s="323">
        <v>240</v>
      </c>
      <c r="P26" s="323">
        <v>210</v>
      </c>
      <c r="Q26" s="323">
        <v>185</v>
      </c>
      <c r="R26" s="323">
        <v>160</v>
      </c>
      <c r="S26" s="323">
        <v>130</v>
      </c>
      <c r="T26" s="323">
        <v>105</v>
      </c>
      <c r="U26" s="323">
        <v>80</v>
      </c>
      <c r="V26" s="323">
        <v>50</v>
      </c>
      <c r="W26" s="323">
        <v>25</v>
      </c>
      <c r="X26" s="325">
        <f t="shared" si="1"/>
        <v>3159.49</v>
      </c>
    </row>
    <row r="27" spans="1:24" s="103" customFormat="1" ht="12.75">
      <c r="A27" s="442">
        <v>11</v>
      </c>
      <c r="B27" s="221" t="s">
        <v>613</v>
      </c>
      <c r="C27" s="425" t="s">
        <v>781</v>
      </c>
      <c r="D27" s="425">
        <v>637</v>
      </c>
      <c r="E27" s="427">
        <v>212555.77</v>
      </c>
      <c r="F27" s="433" t="s">
        <v>636</v>
      </c>
      <c r="G27" s="222" t="s">
        <v>616</v>
      </c>
      <c r="H27" s="301">
        <v>1000</v>
      </c>
      <c r="I27" s="258">
        <v>1000</v>
      </c>
      <c r="J27" s="258">
        <v>2000</v>
      </c>
      <c r="K27" s="258">
        <v>2000</v>
      </c>
      <c r="L27" s="258">
        <v>2000</v>
      </c>
      <c r="M27" s="258">
        <v>5000</v>
      </c>
      <c r="N27" s="258">
        <v>19920</v>
      </c>
      <c r="O27" s="258">
        <v>19920</v>
      </c>
      <c r="P27" s="258">
        <v>19920</v>
      </c>
      <c r="Q27" s="258">
        <v>19920</v>
      </c>
      <c r="R27" s="258">
        <v>19920</v>
      </c>
      <c r="S27" s="259">
        <v>19920</v>
      </c>
      <c r="T27" s="259">
        <v>19920</v>
      </c>
      <c r="U27" s="259">
        <v>19920</v>
      </c>
      <c r="V27" s="259">
        <v>19920</v>
      </c>
      <c r="W27" s="259">
        <v>19525.77</v>
      </c>
      <c r="X27" s="314">
        <f t="shared" si="1"/>
        <v>211805.77</v>
      </c>
    </row>
    <row r="28" spans="1:24" s="103" customFormat="1" ht="12.75">
      <c r="A28" s="443"/>
      <c r="B28" s="224" t="s">
        <v>637</v>
      </c>
      <c r="C28" s="426"/>
      <c r="D28" s="426"/>
      <c r="E28" s="428"/>
      <c r="F28" s="434"/>
      <c r="G28" s="225">
        <v>0.0025</v>
      </c>
      <c r="H28" s="309">
        <v>536.47</v>
      </c>
      <c r="I28" s="260">
        <v>570</v>
      </c>
      <c r="J28" s="260">
        <v>1065</v>
      </c>
      <c r="K28" s="260">
        <v>1055</v>
      </c>
      <c r="L28" s="260">
        <v>1045</v>
      </c>
      <c r="M28" s="260">
        <v>1030</v>
      </c>
      <c r="N28" s="260">
        <v>990</v>
      </c>
      <c r="O28" s="260">
        <v>895</v>
      </c>
      <c r="P28" s="260">
        <v>795</v>
      </c>
      <c r="Q28" s="260">
        <v>690</v>
      </c>
      <c r="R28" s="260">
        <v>590</v>
      </c>
      <c r="S28" s="260">
        <v>490</v>
      </c>
      <c r="T28" s="260">
        <v>390</v>
      </c>
      <c r="U28" s="260">
        <v>290</v>
      </c>
      <c r="V28" s="260">
        <v>185</v>
      </c>
      <c r="W28" s="260">
        <v>90</v>
      </c>
      <c r="X28" s="315">
        <f t="shared" si="1"/>
        <v>10706.470000000001</v>
      </c>
    </row>
    <row r="29" spans="1:24" s="103" customFormat="1" ht="18" customHeight="1">
      <c r="A29" s="453">
        <v>12</v>
      </c>
      <c r="B29" s="326" t="s">
        <v>613</v>
      </c>
      <c r="C29" s="455" t="s">
        <v>782</v>
      </c>
      <c r="D29" s="455">
        <v>638</v>
      </c>
      <c r="E29" s="457">
        <v>1496459</v>
      </c>
      <c r="F29" s="494" t="s">
        <v>638</v>
      </c>
      <c r="G29" s="338" t="s">
        <v>616</v>
      </c>
      <c r="H29" s="333">
        <v>1000</v>
      </c>
      <c r="I29" s="334">
        <v>3000</v>
      </c>
      <c r="J29" s="334">
        <v>5000</v>
      </c>
      <c r="K29" s="334">
        <v>5000</v>
      </c>
      <c r="L29" s="334">
        <v>10000</v>
      </c>
      <c r="M29" s="334">
        <v>20000</v>
      </c>
      <c r="N29" s="334">
        <v>50000</v>
      </c>
      <c r="O29" s="334">
        <v>50000</v>
      </c>
      <c r="P29" s="334">
        <v>50000</v>
      </c>
      <c r="Q29" s="334">
        <v>69458</v>
      </c>
      <c r="R29" s="334">
        <v>75944</v>
      </c>
      <c r="S29" s="335">
        <v>75944</v>
      </c>
      <c r="T29" s="335">
        <f>75944</f>
        <v>75944</v>
      </c>
      <c r="U29" s="335">
        <v>75944</v>
      </c>
      <c r="V29" s="335">
        <v>75944</v>
      </c>
      <c r="W29" s="335">
        <v>852531</v>
      </c>
      <c r="X29" s="320">
        <f t="shared" si="1"/>
        <v>1495709</v>
      </c>
    </row>
    <row r="30" spans="1:24" s="103" customFormat="1" ht="15.75" customHeight="1">
      <c r="A30" s="454"/>
      <c r="B30" s="321" t="s">
        <v>639</v>
      </c>
      <c r="C30" s="456"/>
      <c r="D30" s="456"/>
      <c r="E30" s="458"/>
      <c r="F30" s="495"/>
      <c r="G30" s="322">
        <v>0.0025</v>
      </c>
      <c r="H30" s="336">
        <v>3790.83</v>
      </c>
      <c r="I30" s="337">
        <f>7575-2830</f>
        <v>4745</v>
      </c>
      <c r="J30" s="337">
        <v>7560</v>
      </c>
      <c r="K30" s="337">
        <v>7555</v>
      </c>
      <c r="L30" s="337">
        <v>7505</v>
      </c>
      <c r="M30" s="337">
        <v>7445</v>
      </c>
      <c r="N30" s="337">
        <v>7315</v>
      </c>
      <c r="O30" s="337">
        <v>7090</v>
      </c>
      <c r="P30" s="337">
        <v>6815</v>
      </c>
      <c r="Q30" s="337">
        <v>6550</v>
      </c>
      <c r="R30" s="337">
        <v>6190</v>
      </c>
      <c r="S30" s="337">
        <v>5820</v>
      </c>
      <c r="T30" s="337">
        <v>5420</v>
      </c>
      <c r="U30" s="337">
        <v>5035</v>
      </c>
      <c r="V30" s="337">
        <v>4650</v>
      </c>
      <c r="W30" s="337">
        <v>25800</v>
      </c>
      <c r="X30" s="325">
        <f t="shared" si="1"/>
        <v>119285.83</v>
      </c>
    </row>
    <row r="31" spans="1:24" s="103" customFormat="1" ht="12.75">
      <c r="A31" s="442">
        <v>13</v>
      </c>
      <c r="B31" s="221" t="s">
        <v>613</v>
      </c>
      <c r="C31" s="425" t="s">
        <v>783</v>
      </c>
      <c r="D31" s="425">
        <v>639</v>
      </c>
      <c r="E31" s="427">
        <v>520249</v>
      </c>
      <c r="F31" s="433" t="s">
        <v>640</v>
      </c>
      <c r="G31" s="222" t="s">
        <v>616</v>
      </c>
      <c r="H31" s="301">
        <v>1000</v>
      </c>
      <c r="I31" s="258">
        <v>2000</v>
      </c>
      <c r="J31" s="258">
        <v>2000</v>
      </c>
      <c r="K31" s="258">
        <v>5000</v>
      </c>
      <c r="L31" s="258">
        <v>5000</v>
      </c>
      <c r="M31" s="258">
        <v>10000</v>
      </c>
      <c r="N31" s="258">
        <v>45000</v>
      </c>
      <c r="O31" s="258">
        <v>45000</v>
      </c>
      <c r="P31" s="258">
        <v>45000</v>
      </c>
      <c r="Q31" s="258">
        <v>45000</v>
      </c>
      <c r="R31" s="258">
        <v>45000</v>
      </c>
      <c r="S31" s="259">
        <v>45000</v>
      </c>
      <c r="T31" s="259">
        <v>45000</v>
      </c>
      <c r="U31" s="259">
        <v>45000</v>
      </c>
      <c r="V31" s="259">
        <v>45000</v>
      </c>
      <c r="W31" s="259">
        <f>89949</f>
        <v>89949</v>
      </c>
      <c r="X31" s="314">
        <f t="shared" si="1"/>
        <v>519949</v>
      </c>
    </row>
    <row r="32" spans="1:24" s="103" customFormat="1" ht="12.75">
      <c r="A32" s="443"/>
      <c r="B32" s="224" t="s">
        <v>641</v>
      </c>
      <c r="C32" s="426"/>
      <c r="D32" s="426"/>
      <c r="E32" s="428"/>
      <c r="F32" s="434"/>
      <c r="G32" s="225">
        <v>0.0025</v>
      </c>
      <c r="H32" s="309">
        <v>1317.45</v>
      </c>
      <c r="I32" s="260">
        <f>2630-980</f>
        <v>1650</v>
      </c>
      <c r="J32" s="260">
        <v>2620</v>
      </c>
      <c r="K32" s="260">
        <v>2615</v>
      </c>
      <c r="L32" s="260">
        <v>2585</v>
      </c>
      <c r="M32" s="260">
        <v>2555</v>
      </c>
      <c r="N32" s="260">
        <v>2465</v>
      </c>
      <c r="O32" s="260">
        <v>2255</v>
      </c>
      <c r="P32" s="260">
        <v>2020</v>
      </c>
      <c r="Q32" s="260">
        <v>1790</v>
      </c>
      <c r="R32" s="260">
        <v>1565</v>
      </c>
      <c r="S32" s="260">
        <v>1340</v>
      </c>
      <c r="T32" s="260">
        <v>1110</v>
      </c>
      <c r="U32" s="260">
        <v>880</v>
      </c>
      <c r="V32" s="260">
        <v>650</v>
      </c>
      <c r="W32" s="260">
        <v>600</v>
      </c>
      <c r="X32" s="315">
        <f t="shared" si="1"/>
        <v>28017.45</v>
      </c>
    </row>
    <row r="33" spans="1:24" s="103" customFormat="1" ht="19.5" customHeight="1">
      <c r="A33" s="453">
        <v>14</v>
      </c>
      <c r="B33" s="326" t="s">
        <v>613</v>
      </c>
      <c r="C33" s="455" t="s">
        <v>784</v>
      </c>
      <c r="D33" s="455">
        <v>640</v>
      </c>
      <c r="E33" s="457">
        <f>409900-0.21</f>
        <v>409899.79</v>
      </c>
      <c r="F33" s="494" t="s">
        <v>642</v>
      </c>
      <c r="G33" s="338" t="s">
        <v>616</v>
      </c>
      <c r="H33" s="333">
        <v>1000</v>
      </c>
      <c r="I33" s="334">
        <v>2000</v>
      </c>
      <c r="J33" s="334">
        <v>2000</v>
      </c>
      <c r="K33" s="334">
        <v>5000</v>
      </c>
      <c r="L33" s="334">
        <v>5000</v>
      </c>
      <c r="M33" s="334">
        <v>10000</v>
      </c>
      <c r="N33" s="334">
        <v>34964</v>
      </c>
      <c r="O33" s="334">
        <v>34964</v>
      </c>
      <c r="P33" s="334">
        <v>34964</v>
      </c>
      <c r="Q33" s="334">
        <v>34964</v>
      </c>
      <c r="R33" s="334">
        <v>34964</v>
      </c>
      <c r="S33" s="335">
        <v>34964</v>
      </c>
      <c r="T33" s="335">
        <v>34964</v>
      </c>
      <c r="U33" s="335">
        <v>34964</v>
      </c>
      <c r="V33" s="335">
        <v>34964</v>
      </c>
      <c r="W33" s="335">
        <f>34964+34959.79</f>
        <v>69923.79000000001</v>
      </c>
      <c r="X33" s="320">
        <f t="shared" si="1"/>
        <v>409599.79000000004</v>
      </c>
    </row>
    <row r="34" spans="1:24" s="103" customFormat="1" ht="16.5" customHeight="1">
      <c r="A34" s="454"/>
      <c r="B34" s="321" t="s">
        <v>643</v>
      </c>
      <c r="C34" s="456"/>
      <c r="D34" s="456"/>
      <c r="E34" s="458"/>
      <c r="F34" s="495"/>
      <c r="G34" s="322">
        <v>0.0025</v>
      </c>
      <c r="H34" s="336">
        <v>1037.76</v>
      </c>
      <c r="I34" s="337">
        <f>2070-1035</f>
        <v>1035</v>
      </c>
      <c r="J34" s="337">
        <v>2060</v>
      </c>
      <c r="K34" s="337">
        <v>2055</v>
      </c>
      <c r="L34" s="337">
        <v>2025</v>
      </c>
      <c r="M34" s="337">
        <v>1995</v>
      </c>
      <c r="N34" s="337">
        <v>1920</v>
      </c>
      <c r="O34" s="337">
        <v>1755</v>
      </c>
      <c r="P34" s="337">
        <v>1570</v>
      </c>
      <c r="Q34" s="337">
        <v>1395</v>
      </c>
      <c r="R34" s="337">
        <v>1215</v>
      </c>
      <c r="S34" s="337">
        <v>1040</v>
      </c>
      <c r="T34" s="337">
        <v>860</v>
      </c>
      <c r="U34" s="337">
        <v>685</v>
      </c>
      <c r="V34" s="337">
        <v>505</v>
      </c>
      <c r="W34" s="337">
        <v>490</v>
      </c>
      <c r="X34" s="325">
        <f t="shared" si="1"/>
        <v>21642.760000000002</v>
      </c>
    </row>
    <row r="35" spans="1:24" s="103" customFormat="1" ht="20.25" customHeight="1">
      <c r="A35" s="442">
        <v>15</v>
      </c>
      <c r="B35" s="221" t="s">
        <v>613</v>
      </c>
      <c r="C35" s="433" t="s">
        <v>644</v>
      </c>
      <c r="D35" s="425">
        <v>641</v>
      </c>
      <c r="E35" s="427">
        <f>157928-30001.8</f>
        <v>127926.2</v>
      </c>
      <c r="F35" s="433" t="s">
        <v>645</v>
      </c>
      <c r="G35" s="398" t="s">
        <v>616</v>
      </c>
      <c r="H35" s="400">
        <f>38592+35239.29</f>
        <v>73831.29000000001</v>
      </c>
      <c r="I35" s="255">
        <f>38592.2-2347.04-1005.87-35239.29</f>
        <v>0</v>
      </c>
      <c r="J35" s="253"/>
      <c r="K35" s="253"/>
      <c r="L35" s="255"/>
      <c r="M35" s="253"/>
      <c r="N35" s="233"/>
      <c r="O35" s="253"/>
      <c r="P35" s="253"/>
      <c r="Q35" s="253"/>
      <c r="R35" s="253"/>
      <c r="S35" s="253"/>
      <c r="T35" s="253"/>
      <c r="U35" s="253"/>
      <c r="V35" s="253"/>
      <c r="W35" s="253"/>
      <c r="X35" s="314">
        <f t="shared" si="1"/>
        <v>73831.29000000001</v>
      </c>
    </row>
    <row r="36" spans="1:24" s="103" customFormat="1" ht="16.5" customHeight="1">
      <c r="A36" s="443"/>
      <c r="B36" s="224" t="s">
        <v>646</v>
      </c>
      <c r="C36" s="434"/>
      <c r="D36" s="426"/>
      <c r="E36" s="428"/>
      <c r="F36" s="434"/>
      <c r="G36" s="399">
        <v>0.0025</v>
      </c>
      <c r="H36" s="330">
        <f>172.6+23.38</f>
        <v>195.98</v>
      </c>
      <c r="I36" s="254">
        <f>165-80-85</f>
        <v>0</v>
      </c>
      <c r="J36" s="254"/>
      <c r="K36" s="254"/>
      <c r="L36" s="254"/>
      <c r="M36" s="254"/>
      <c r="N36" s="236"/>
      <c r="O36" s="254"/>
      <c r="P36" s="254"/>
      <c r="Q36" s="254"/>
      <c r="R36" s="254"/>
      <c r="S36" s="254"/>
      <c r="T36" s="254"/>
      <c r="U36" s="254"/>
      <c r="V36" s="254"/>
      <c r="W36" s="254"/>
      <c r="X36" s="315">
        <f t="shared" si="1"/>
        <v>195.98</v>
      </c>
    </row>
    <row r="37" spans="1:24" s="103" customFormat="1" ht="12.75">
      <c r="A37" s="453">
        <v>16</v>
      </c>
      <c r="B37" s="326" t="s">
        <v>613</v>
      </c>
      <c r="C37" s="494" t="s">
        <v>785</v>
      </c>
      <c r="D37" s="455">
        <v>642</v>
      </c>
      <c r="E37" s="457">
        <f>231313-0.12</f>
        <v>231312.88</v>
      </c>
      <c r="F37" s="494" t="s">
        <v>647</v>
      </c>
      <c r="G37" s="338" t="s">
        <v>616</v>
      </c>
      <c r="H37" s="300">
        <v>6000</v>
      </c>
      <c r="I37" s="318">
        <v>6000</v>
      </c>
      <c r="J37" s="318">
        <v>14620</v>
      </c>
      <c r="K37" s="318">
        <v>14620</v>
      </c>
      <c r="L37" s="318">
        <v>14620</v>
      </c>
      <c r="M37" s="318">
        <v>14620</v>
      </c>
      <c r="N37" s="339">
        <v>14620</v>
      </c>
      <c r="O37" s="318">
        <v>14620</v>
      </c>
      <c r="P37" s="318">
        <v>14620</v>
      </c>
      <c r="Q37" s="318">
        <v>14620</v>
      </c>
      <c r="R37" s="318">
        <v>14620</v>
      </c>
      <c r="S37" s="318">
        <v>14620</v>
      </c>
      <c r="T37" s="318">
        <f>14620</f>
        <v>14620</v>
      </c>
      <c r="U37" s="318">
        <v>14620</v>
      </c>
      <c r="V37" s="318">
        <v>14620</v>
      </c>
      <c r="W37" s="332">
        <f>14620+14632.88</f>
        <v>29252.879999999997</v>
      </c>
      <c r="X37" s="320">
        <f t="shared" si="1"/>
        <v>231312.88</v>
      </c>
    </row>
    <row r="38" spans="1:24" s="103" customFormat="1" ht="12.75">
      <c r="A38" s="454"/>
      <c r="B38" s="321" t="s">
        <v>648</v>
      </c>
      <c r="C38" s="495"/>
      <c r="D38" s="456"/>
      <c r="E38" s="458"/>
      <c r="F38" s="495"/>
      <c r="G38" s="322">
        <v>0.0025</v>
      </c>
      <c r="H38" s="304">
        <v>583.14</v>
      </c>
      <c r="I38" s="323">
        <f>1140-145</f>
        <v>995</v>
      </c>
      <c r="J38" s="323">
        <v>1100</v>
      </c>
      <c r="K38" s="323">
        <v>1030</v>
      </c>
      <c r="L38" s="323">
        <v>955</v>
      </c>
      <c r="M38" s="323">
        <v>880</v>
      </c>
      <c r="N38" s="340">
        <v>805</v>
      </c>
      <c r="O38" s="323">
        <v>735</v>
      </c>
      <c r="P38" s="323">
        <v>660</v>
      </c>
      <c r="Q38" s="323">
        <v>585</v>
      </c>
      <c r="R38" s="323">
        <v>510</v>
      </c>
      <c r="S38" s="323">
        <v>435</v>
      </c>
      <c r="T38" s="323">
        <v>360</v>
      </c>
      <c r="U38" s="323">
        <v>290</v>
      </c>
      <c r="V38" s="323">
        <v>215</v>
      </c>
      <c r="W38" s="323">
        <v>205</v>
      </c>
      <c r="X38" s="325">
        <f t="shared" si="1"/>
        <v>10343.14</v>
      </c>
    </row>
    <row r="39" spans="1:24" s="103" customFormat="1" ht="20.25" customHeight="1">
      <c r="A39" s="442">
        <v>17</v>
      </c>
      <c r="B39" s="221" t="s">
        <v>613</v>
      </c>
      <c r="C39" s="433" t="s">
        <v>649</v>
      </c>
      <c r="D39" s="425">
        <v>643</v>
      </c>
      <c r="E39" s="427">
        <f>65353+64222+85311-80000-1794.36</f>
        <v>133091.64</v>
      </c>
      <c r="F39" s="433" t="s">
        <v>650</v>
      </c>
      <c r="G39" s="222" t="s">
        <v>616</v>
      </c>
      <c r="H39" s="310">
        <f>500.19+(72042.56+19164.63-500.19)</f>
        <v>91207.19</v>
      </c>
      <c r="I39" s="251"/>
      <c r="J39" s="251"/>
      <c r="K39" s="251"/>
      <c r="L39" s="251"/>
      <c r="M39" s="251"/>
      <c r="N39" s="251"/>
      <c r="O39" s="253"/>
      <c r="P39" s="253"/>
      <c r="Q39" s="253"/>
      <c r="R39" s="253"/>
      <c r="S39" s="253"/>
      <c r="T39" s="253"/>
      <c r="U39" s="253"/>
      <c r="V39" s="253"/>
      <c r="W39" s="253"/>
      <c r="X39" s="314">
        <f aca="true" t="shared" si="2" ref="X39:X70">SUM(H39:W39)</f>
        <v>91207.19</v>
      </c>
    </row>
    <row r="40" spans="1:24" s="103" customFormat="1" ht="18" customHeight="1">
      <c r="A40" s="443"/>
      <c r="B40" s="224" t="s">
        <v>651</v>
      </c>
      <c r="C40" s="434"/>
      <c r="D40" s="426"/>
      <c r="E40" s="428"/>
      <c r="F40" s="434"/>
      <c r="G40" s="225">
        <v>0.0025</v>
      </c>
      <c r="H40" s="303">
        <v>91.4</v>
      </c>
      <c r="I40" s="252"/>
      <c r="J40" s="252"/>
      <c r="K40" s="252"/>
      <c r="L40" s="252"/>
      <c r="M40" s="252"/>
      <c r="N40" s="252"/>
      <c r="O40" s="254"/>
      <c r="P40" s="254"/>
      <c r="Q40" s="254"/>
      <c r="R40" s="254"/>
      <c r="S40" s="254"/>
      <c r="T40" s="254"/>
      <c r="U40" s="254"/>
      <c r="V40" s="254"/>
      <c r="W40" s="254"/>
      <c r="X40" s="315">
        <f t="shared" si="2"/>
        <v>91.4</v>
      </c>
    </row>
    <row r="41" spans="1:24" s="103" customFormat="1" ht="12.75">
      <c r="A41" s="453">
        <v>18</v>
      </c>
      <c r="B41" s="326" t="s">
        <v>613</v>
      </c>
      <c r="C41" s="455" t="s">
        <v>652</v>
      </c>
      <c r="D41" s="455">
        <v>644</v>
      </c>
      <c r="E41" s="457">
        <f>1188567-257831-28891.82</f>
        <v>901844.18</v>
      </c>
      <c r="F41" s="494" t="s">
        <v>653</v>
      </c>
      <c r="G41" s="338" t="s">
        <v>616</v>
      </c>
      <c r="H41" s="341">
        <v>374.5</v>
      </c>
      <c r="I41" s="339">
        <v>1000</v>
      </c>
      <c r="J41" s="339">
        <v>2000</v>
      </c>
      <c r="K41" s="339">
        <v>6000</v>
      </c>
      <c r="L41" s="339">
        <v>10000</v>
      </c>
      <c r="M41" s="339">
        <v>16000</v>
      </c>
      <c r="N41" s="339">
        <v>36800</v>
      </c>
      <c r="O41" s="339">
        <v>36800</v>
      </c>
      <c r="P41" s="339">
        <v>36800</v>
      </c>
      <c r="Q41" s="339">
        <v>36800</v>
      </c>
      <c r="R41" s="339">
        <v>36800</v>
      </c>
      <c r="S41" s="339">
        <v>36800</v>
      </c>
      <c r="T41" s="339">
        <v>36800</v>
      </c>
      <c r="U41" s="339">
        <v>36800</v>
      </c>
      <c r="V41" s="339">
        <v>36800</v>
      </c>
      <c r="W41" s="339">
        <v>450602</v>
      </c>
      <c r="X41" s="320">
        <f t="shared" si="2"/>
        <v>817176.5</v>
      </c>
    </row>
    <row r="42" spans="1:24" s="103" customFormat="1" ht="12.75">
      <c r="A42" s="454"/>
      <c r="B42" s="342" t="s">
        <v>654</v>
      </c>
      <c r="C42" s="456"/>
      <c r="D42" s="456"/>
      <c r="E42" s="458"/>
      <c r="F42" s="495"/>
      <c r="G42" s="322">
        <v>0.0025</v>
      </c>
      <c r="H42" s="343">
        <v>2071.17</v>
      </c>
      <c r="I42" s="340">
        <v>3110</v>
      </c>
      <c r="J42" s="340">
        <v>4135</v>
      </c>
      <c r="K42" s="340">
        <v>4135</v>
      </c>
      <c r="L42" s="340">
        <v>4090</v>
      </c>
      <c r="M42" s="340">
        <v>4035</v>
      </c>
      <c r="N42" s="340">
        <v>3930</v>
      </c>
      <c r="O42" s="340">
        <v>3760</v>
      </c>
      <c r="P42" s="340">
        <v>3565</v>
      </c>
      <c r="Q42" s="340">
        <v>3375</v>
      </c>
      <c r="R42" s="340">
        <v>3190</v>
      </c>
      <c r="S42" s="340">
        <v>3015</v>
      </c>
      <c r="T42" s="340">
        <v>2820</v>
      </c>
      <c r="U42" s="340">
        <v>2630</v>
      </c>
      <c r="V42" s="340">
        <v>2445</v>
      </c>
      <c r="W42" s="340">
        <v>14800</v>
      </c>
      <c r="X42" s="325">
        <f t="shared" si="2"/>
        <v>65106.17</v>
      </c>
    </row>
    <row r="43" spans="1:24" s="103" customFormat="1" ht="12.75">
      <c r="A43" s="442">
        <v>19</v>
      </c>
      <c r="B43" s="221" t="s">
        <v>613</v>
      </c>
      <c r="C43" s="425" t="s">
        <v>655</v>
      </c>
      <c r="D43" s="425">
        <v>645</v>
      </c>
      <c r="E43" s="427">
        <v>785535</v>
      </c>
      <c r="F43" s="433" t="s">
        <v>656</v>
      </c>
      <c r="G43" s="222" t="s">
        <v>616</v>
      </c>
      <c r="H43" s="302">
        <v>375</v>
      </c>
      <c r="I43" s="251">
        <v>2000</v>
      </c>
      <c r="J43" s="251">
        <v>4000</v>
      </c>
      <c r="K43" s="251">
        <v>6000</v>
      </c>
      <c r="L43" s="251">
        <v>10000</v>
      </c>
      <c r="M43" s="251">
        <v>20000</v>
      </c>
      <c r="N43" s="251">
        <v>66200</v>
      </c>
      <c r="O43" s="251">
        <v>66200</v>
      </c>
      <c r="P43" s="251">
        <v>66200</v>
      </c>
      <c r="Q43" s="251">
        <v>66200</v>
      </c>
      <c r="R43" s="251">
        <v>66200</v>
      </c>
      <c r="S43" s="251">
        <v>66200</v>
      </c>
      <c r="T43" s="251">
        <v>66200</v>
      </c>
      <c r="U43" s="251">
        <v>66200</v>
      </c>
      <c r="V43" s="251">
        <v>66200</v>
      </c>
      <c r="W43" s="251">
        <f>66200+66200+14960</f>
        <v>147360</v>
      </c>
      <c r="X43" s="314">
        <f t="shared" si="2"/>
        <v>785535</v>
      </c>
    </row>
    <row r="44" spans="1:24" s="103" customFormat="1" ht="12.75">
      <c r="A44" s="443"/>
      <c r="B44" s="223" t="s">
        <v>657</v>
      </c>
      <c r="C44" s="426"/>
      <c r="D44" s="426"/>
      <c r="E44" s="428"/>
      <c r="F44" s="434"/>
      <c r="G44" s="225">
        <v>0.0025</v>
      </c>
      <c r="H44" s="303">
        <v>1991.01</v>
      </c>
      <c r="I44" s="252">
        <v>2495</v>
      </c>
      <c r="J44" s="252">
        <v>3970</v>
      </c>
      <c r="K44" s="252">
        <v>3960</v>
      </c>
      <c r="L44" s="252">
        <v>3915</v>
      </c>
      <c r="M44" s="252">
        <v>3855</v>
      </c>
      <c r="N44" s="252">
        <v>3705</v>
      </c>
      <c r="O44" s="252">
        <v>3390</v>
      </c>
      <c r="P44" s="252">
        <v>3045</v>
      </c>
      <c r="Q44" s="252">
        <v>2710</v>
      </c>
      <c r="R44" s="252">
        <v>2375</v>
      </c>
      <c r="S44" s="252">
        <v>2045</v>
      </c>
      <c r="T44" s="252">
        <v>1705</v>
      </c>
      <c r="U44" s="252">
        <v>1370</v>
      </c>
      <c r="V44" s="252">
        <v>1035</v>
      </c>
      <c r="W44" s="252">
        <v>1115</v>
      </c>
      <c r="X44" s="315">
        <f t="shared" si="2"/>
        <v>42681.01</v>
      </c>
    </row>
    <row r="45" spans="1:24" s="103" customFormat="1" ht="23.25" customHeight="1">
      <c r="A45" s="453">
        <v>20</v>
      </c>
      <c r="B45" s="326" t="s">
        <v>613</v>
      </c>
      <c r="C45" s="455" t="s">
        <v>658</v>
      </c>
      <c r="D45" s="455">
        <v>646</v>
      </c>
      <c r="E45" s="504">
        <f>2223157+31089</f>
        <v>2254246</v>
      </c>
      <c r="F45" s="494" t="s">
        <v>659</v>
      </c>
      <c r="G45" s="338" t="s">
        <v>616</v>
      </c>
      <c r="H45" s="341">
        <v>1500</v>
      </c>
      <c r="I45" s="339">
        <v>4000</v>
      </c>
      <c r="J45" s="339">
        <v>6000</v>
      </c>
      <c r="K45" s="339">
        <v>10000</v>
      </c>
      <c r="L45" s="339">
        <v>20000</v>
      </c>
      <c r="M45" s="339">
        <v>40000</v>
      </c>
      <c r="N45" s="339">
        <v>102248</v>
      </c>
      <c r="O45" s="339">
        <v>102248</v>
      </c>
      <c r="P45" s="339">
        <v>102248</v>
      </c>
      <c r="Q45" s="339">
        <v>102248</v>
      </c>
      <c r="R45" s="339">
        <v>102248</v>
      </c>
      <c r="S45" s="339">
        <v>102248</v>
      </c>
      <c r="T45" s="339">
        <v>102248</v>
      </c>
      <c r="U45" s="339">
        <v>102248</v>
      </c>
      <c r="V45" s="339">
        <v>102248</v>
      </c>
      <c r="W45" s="339">
        <v>1252514</v>
      </c>
      <c r="X45" s="320">
        <f t="shared" si="2"/>
        <v>2254246</v>
      </c>
    </row>
    <row r="46" spans="1:24" s="103" customFormat="1" ht="22.5" customHeight="1">
      <c r="A46" s="454"/>
      <c r="B46" s="342" t="s">
        <v>660</v>
      </c>
      <c r="C46" s="456"/>
      <c r="D46" s="456"/>
      <c r="E46" s="505"/>
      <c r="F46" s="495"/>
      <c r="G46" s="322">
        <v>0.0025</v>
      </c>
      <c r="H46" s="343">
        <v>5713.48</v>
      </c>
      <c r="I46" s="340">
        <v>7150</v>
      </c>
      <c r="J46" s="340">
        <v>11395</v>
      </c>
      <c r="K46" s="340">
        <v>11395</v>
      </c>
      <c r="L46" s="340">
        <v>11305</v>
      </c>
      <c r="M46" s="340">
        <v>11185</v>
      </c>
      <c r="N46" s="340">
        <v>10920</v>
      </c>
      <c r="O46" s="340">
        <v>10450</v>
      </c>
      <c r="P46" s="340">
        <v>9900</v>
      </c>
      <c r="Q46" s="340">
        <v>9380</v>
      </c>
      <c r="R46" s="340">
        <v>8865</v>
      </c>
      <c r="S46" s="340">
        <v>8370</v>
      </c>
      <c r="T46" s="340">
        <v>7825</v>
      </c>
      <c r="U46" s="340">
        <v>7310</v>
      </c>
      <c r="V46" s="340">
        <v>6790</v>
      </c>
      <c r="W46" s="340">
        <v>41155</v>
      </c>
      <c r="X46" s="325">
        <f t="shared" si="2"/>
        <v>179108.47999999998</v>
      </c>
    </row>
    <row r="47" spans="1:24" s="103" customFormat="1" ht="21" customHeight="1">
      <c r="A47" s="442">
        <v>21</v>
      </c>
      <c r="B47" s="221" t="s">
        <v>613</v>
      </c>
      <c r="C47" s="425" t="s">
        <v>258</v>
      </c>
      <c r="D47" s="425">
        <v>647</v>
      </c>
      <c r="E47" s="427">
        <v>1632032</v>
      </c>
      <c r="F47" s="433" t="s">
        <v>659</v>
      </c>
      <c r="G47" s="222" t="s">
        <v>616</v>
      </c>
      <c r="H47" s="302">
        <v>375.82</v>
      </c>
      <c r="I47" s="251">
        <v>2000</v>
      </c>
      <c r="J47" s="251">
        <v>6000</v>
      </c>
      <c r="K47" s="251">
        <v>20000</v>
      </c>
      <c r="L47" s="251">
        <v>40000</v>
      </c>
      <c r="M47" s="251">
        <v>60000</v>
      </c>
      <c r="N47" s="251">
        <v>65168</v>
      </c>
      <c r="O47" s="251">
        <v>65168</v>
      </c>
      <c r="P47" s="251">
        <v>65168</v>
      </c>
      <c r="Q47" s="251">
        <v>65168</v>
      </c>
      <c r="R47" s="251">
        <v>65168</v>
      </c>
      <c r="S47" s="251">
        <v>65168</v>
      </c>
      <c r="T47" s="251">
        <v>65168</v>
      </c>
      <c r="U47" s="251">
        <v>65168</v>
      </c>
      <c r="V47" s="251">
        <v>65168</v>
      </c>
      <c r="W47" s="251">
        <v>798289</v>
      </c>
      <c r="X47" s="314">
        <f t="shared" si="2"/>
        <v>1513176.82</v>
      </c>
    </row>
    <row r="48" spans="1:24" s="103" customFormat="1" ht="16.5" customHeight="1">
      <c r="A48" s="443"/>
      <c r="B48" s="223" t="s">
        <v>661</v>
      </c>
      <c r="C48" s="426"/>
      <c r="D48" s="426"/>
      <c r="E48" s="428"/>
      <c r="F48" s="434"/>
      <c r="G48" s="225">
        <v>0.0025</v>
      </c>
      <c r="H48" s="303">
        <v>3835.38</v>
      </c>
      <c r="I48" s="252">
        <v>4800</v>
      </c>
      <c r="J48" s="252">
        <v>7655</v>
      </c>
      <c r="K48" s="252">
        <v>7630</v>
      </c>
      <c r="L48" s="252">
        <v>7495</v>
      </c>
      <c r="M48" s="252">
        <v>7275</v>
      </c>
      <c r="N48" s="252">
        <v>6970</v>
      </c>
      <c r="O48" s="252">
        <v>6660</v>
      </c>
      <c r="P48" s="252">
        <v>6310</v>
      </c>
      <c r="Q48" s="252">
        <v>5980</v>
      </c>
      <c r="R48" s="252">
        <v>5650</v>
      </c>
      <c r="S48" s="252">
        <v>5335</v>
      </c>
      <c r="T48" s="252">
        <v>4990</v>
      </c>
      <c r="U48" s="252">
        <v>4660</v>
      </c>
      <c r="V48" s="252">
        <v>4330</v>
      </c>
      <c r="W48" s="252">
        <v>26230</v>
      </c>
      <c r="X48" s="315">
        <f t="shared" si="2"/>
        <v>115805.38</v>
      </c>
    </row>
    <row r="49" spans="1:24" s="103" customFormat="1" ht="27.75" customHeight="1">
      <c r="A49" s="453">
        <v>22</v>
      </c>
      <c r="B49" s="326" t="s">
        <v>613</v>
      </c>
      <c r="C49" s="455" t="s">
        <v>662</v>
      </c>
      <c r="D49" s="455">
        <v>649</v>
      </c>
      <c r="E49" s="504">
        <f>1181972+164205</f>
        <v>1346177</v>
      </c>
      <c r="F49" s="494" t="s">
        <v>663</v>
      </c>
      <c r="G49" s="338" t="s">
        <v>616</v>
      </c>
      <c r="H49" s="341">
        <v>500</v>
      </c>
      <c r="I49" s="339">
        <v>2000</v>
      </c>
      <c r="J49" s="339">
        <v>6000</v>
      </c>
      <c r="K49" s="339">
        <v>10000</v>
      </c>
      <c r="L49" s="339">
        <v>20000</v>
      </c>
      <c r="M49" s="339">
        <v>40000</v>
      </c>
      <c r="N49" s="339">
        <v>51324</v>
      </c>
      <c r="O49" s="339">
        <v>59336</v>
      </c>
      <c r="P49" s="339">
        <v>59336</v>
      </c>
      <c r="Q49" s="339">
        <v>59336</v>
      </c>
      <c r="R49" s="339">
        <v>59336</v>
      </c>
      <c r="S49" s="339">
        <v>59336</v>
      </c>
      <c r="T49" s="339">
        <v>59336</v>
      </c>
      <c r="U49" s="339">
        <v>59336</v>
      </c>
      <c r="V49" s="339">
        <v>59336</v>
      </c>
      <c r="W49" s="339">
        <v>741665</v>
      </c>
      <c r="X49" s="320">
        <f t="shared" si="2"/>
        <v>1346177</v>
      </c>
    </row>
    <row r="50" spans="1:24" s="103" customFormat="1" ht="20.25" customHeight="1">
      <c r="A50" s="454"/>
      <c r="B50" s="342" t="s">
        <v>664</v>
      </c>
      <c r="C50" s="456"/>
      <c r="D50" s="456"/>
      <c r="E50" s="505"/>
      <c r="F50" s="495"/>
      <c r="G50" s="322">
        <v>0.0025</v>
      </c>
      <c r="H50" s="343">
        <v>3412.12</v>
      </c>
      <c r="I50" s="340">
        <v>4270</v>
      </c>
      <c r="J50" s="340">
        <v>6810</v>
      </c>
      <c r="K50" s="340">
        <v>6795</v>
      </c>
      <c r="L50" s="340">
        <v>6715</v>
      </c>
      <c r="M50" s="340">
        <v>6595</v>
      </c>
      <c r="N50" s="340">
        <v>6385</v>
      </c>
      <c r="O50" s="340">
        <v>6135</v>
      </c>
      <c r="P50" s="340">
        <v>5820</v>
      </c>
      <c r="Q50" s="340">
        <v>5520</v>
      </c>
      <c r="R50" s="340">
        <v>5220</v>
      </c>
      <c r="S50" s="340">
        <v>4935</v>
      </c>
      <c r="T50" s="340">
        <v>4620</v>
      </c>
      <c r="U50" s="340">
        <v>4320</v>
      </c>
      <c r="V50" s="340">
        <v>4015</v>
      </c>
      <c r="W50" s="340">
        <v>24840</v>
      </c>
      <c r="X50" s="325">
        <f t="shared" si="2"/>
        <v>106407.12</v>
      </c>
    </row>
    <row r="51" spans="1:24" s="103" customFormat="1" ht="18" customHeight="1">
      <c r="A51" s="442">
        <v>23</v>
      </c>
      <c r="B51" s="221" t="s">
        <v>613</v>
      </c>
      <c r="C51" s="425" t="s">
        <v>665</v>
      </c>
      <c r="D51" s="425">
        <v>650</v>
      </c>
      <c r="E51" s="427">
        <f>1108154-97425-61240.54</f>
        <v>949488.46</v>
      </c>
      <c r="F51" s="433" t="s">
        <v>666</v>
      </c>
      <c r="G51" s="222" t="s">
        <v>616</v>
      </c>
      <c r="H51" s="302">
        <v>750.21</v>
      </c>
      <c r="I51" s="251">
        <v>2000</v>
      </c>
      <c r="J51" s="251">
        <v>4000</v>
      </c>
      <c r="K51" s="251">
        <v>10000</v>
      </c>
      <c r="L51" s="251">
        <v>16000</v>
      </c>
      <c r="M51" s="251">
        <v>28000</v>
      </c>
      <c r="N51" s="251">
        <v>35944</v>
      </c>
      <c r="O51" s="251">
        <v>35944</v>
      </c>
      <c r="P51" s="251">
        <v>35944</v>
      </c>
      <c r="Q51" s="251">
        <v>35944</v>
      </c>
      <c r="R51" s="251">
        <v>35944</v>
      </c>
      <c r="S51" s="251">
        <v>35944</v>
      </c>
      <c r="T51" s="251">
        <v>35944</v>
      </c>
      <c r="U51" s="251">
        <v>35944</v>
      </c>
      <c r="V51" s="251">
        <v>35944</v>
      </c>
      <c r="W51" s="251">
        <v>440294</v>
      </c>
      <c r="X51" s="314">
        <f t="shared" si="2"/>
        <v>824540.21</v>
      </c>
    </row>
    <row r="52" spans="1:24" s="103" customFormat="1" ht="20.25" customHeight="1">
      <c r="A52" s="443"/>
      <c r="B52" s="223" t="s">
        <v>667</v>
      </c>
      <c r="C52" s="426"/>
      <c r="D52" s="426"/>
      <c r="E52" s="428"/>
      <c r="F52" s="434"/>
      <c r="G52" s="225">
        <v>0.0025</v>
      </c>
      <c r="H52" s="303">
        <v>2089.78</v>
      </c>
      <c r="I52" s="252">
        <v>2615</v>
      </c>
      <c r="J52" s="252">
        <v>4165</v>
      </c>
      <c r="K52" s="252">
        <v>4150</v>
      </c>
      <c r="L52" s="252">
        <v>4085</v>
      </c>
      <c r="M52" s="252">
        <v>3990</v>
      </c>
      <c r="N52" s="252">
        <v>3845</v>
      </c>
      <c r="O52" s="252">
        <v>3675</v>
      </c>
      <c r="P52" s="252">
        <v>3480</v>
      </c>
      <c r="Q52" s="252">
        <v>3300</v>
      </c>
      <c r="R52" s="252">
        <v>3120</v>
      </c>
      <c r="S52" s="252">
        <v>2945</v>
      </c>
      <c r="T52" s="252">
        <v>2755</v>
      </c>
      <c r="U52" s="252">
        <v>2570</v>
      </c>
      <c r="V52" s="252">
        <v>2390</v>
      </c>
      <c r="W52" s="252">
        <v>14470</v>
      </c>
      <c r="X52" s="315">
        <f t="shared" si="2"/>
        <v>63644.78</v>
      </c>
    </row>
    <row r="53" spans="1:24" s="103" customFormat="1" ht="12.75">
      <c r="A53" s="453">
        <v>24</v>
      </c>
      <c r="B53" s="326" t="s">
        <v>613</v>
      </c>
      <c r="C53" s="455" t="s">
        <v>668</v>
      </c>
      <c r="D53" s="455">
        <v>651</v>
      </c>
      <c r="E53" s="457">
        <f>225000-4003.53</f>
        <v>220996.47</v>
      </c>
      <c r="F53" s="494" t="s">
        <v>669</v>
      </c>
      <c r="G53" s="338" t="s">
        <v>616</v>
      </c>
      <c r="H53" s="341">
        <v>375</v>
      </c>
      <c r="I53" s="339">
        <v>2000</v>
      </c>
      <c r="J53" s="339">
        <v>4000</v>
      </c>
      <c r="K53" s="339">
        <v>6000</v>
      </c>
      <c r="L53" s="339">
        <v>8000</v>
      </c>
      <c r="M53" s="339">
        <v>16380</v>
      </c>
      <c r="N53" s="339">
        <v>16380</v>
      </c>
      <c r="O53" s="339">
        <v>16380</v>
      </c>
      <c r="P53" s="339">
        <v>16380</v>
      </c>
      <c r="Q53" s="339">
        <v>16380</v>
      </c>
      <c r="R53" s="339">
        <v>16380</v>
      </c>
      <c r="S53" s="339">
        <v>16380</v>
      </c>
      <c r="T53" s="339">
        <v>16380</v>
      </c>
      <c r="U53" s="339">
        <v>16380</v>
      </c>
      <c r="V53" s="339">
        <v>16380</v>
      </c>
      <c r="W53" s="344">
        <f>16380+16380+4061.47</f>
        <v>36821.47</v>
      </c>
      <c r="X53" s="320">
        <f t="shared" si="2"/>
        <v>220996.47</v>
      </c>
    </row>
    <row r="54" spans="1:24" s="103" customFormat="1" ht="12.75">
      <c r="A54" s="454"/>
      <c r="B54" s="342" t="s">
        <v>670</v>
      </c>
      <c r="C54" s="456"/>
      <c r="D54" s="456"/>
      <c r="E54" s="458"/>
      <c r="F54" s="495"/>
      <c r="G54" s="322">
        <v>0.0025</v>
      </c>
      <c r="H54" s="343">
        <v>560.06</v>
      </c>
      <c r="I54" s="340">
        <v>700</v>
      </c>
      <c r="J54" s="340">
        <v>1105</v>
      </c>
      <c r="K54" s="340">
        <v>1090</v>
      </c>
      <c r="L54" s="340">
        <v>1055</v>
      </c>
      <c r="M54" s="340">
        <v>1005</v>
      </c>
      <c r="N54" s="340">
        <v>925</v>
      </c>
      <c r="O54" s="340">
        <v>845</v>
      </c>
      <c r="P54" s="340">
        <v>760</v>
      </c>
      <c r="Q54" s="340">
        <v>675</v>
      </c>
      <c r="R54" s="340">
        <v>590</v>
      </c>
      <c r="S54" s="340">
        <v>510</v>
      </c>
      <c r="T54" s="340">
        <v>425</v>
      </c>
      <c r="U54" s="340">
        <v>340</v>
      </c>
      <c r="V54" s="340">
        <v>260</v>
      </c>
      <c r="W54" s="340">
        <v>280</v>
      </c>
      <c r="X54" s="325">
        <f t="shared" si="2"/>
        <v>11125.06</v>
      </c>
    </row>
    <row r="55" spans="1:24" s="142" customFormat="1" ht="12.75">
      <c r="A55" s="442">
        <v>25</v>
      </c>
      <c r="B55" s="221" t="s">
        <v>613</v>
      </c>
      <c r="C55" s="425" t="s">
        <v>786</v>
      </c>
      <c r="D55" s="425">
        <v>652</v>
      </c>
      <c r="E55" s="427">
        <f>888438-1.11</f>
        <v>888436.89</v>
      </c>
      <c r="F55" s="433" t="s">
        <v>671</v>
      </c>
      <c r="G55" s="222" t="s">
        <v>616</v>
      </c>
      <c r="H55" s="302">
        <v>500</v>
      </c>
      <c r="I55" s="251">
        <v>2500</v>
      </c>
      <c r="J55" s="251">
        <v>6000</v>
      </c>
      <c r="K55" s="251">
        <v>10000</v>
      </c>
      <c r="L55" s="251">
        <v>20000</v>
      </c>
      <c r="M55" s="251">
        <v>40000</v>
      </c>
      <c r="N55" s="251">
        <v>70384</v>
      </c>
      <c r="O55" s="251">
        <v>70384</v>
      </c>
      <c r="P55" s="251">
        <v>70384</v>
      </c>
      <c r="Q55" s="251">
        <v>70384</v>
      </c>
      <c r="R55" s="251">
        <v>70384</v>
      </c>
      <c r="S55" s="251">
        <v>70384</v>
      </c>
      <c r="T55" s="251">
        <v>70384</v>
      </c>
      <c r="U55" s="251">
        <v>70384</v>
      </c>
      <c r="V55" s="251">
        <v>70384</v>
      </c>
      <c r="W55" s="261">
        <v>175980.89</v>
      </c>
      <c r="X55" s="314">
        <f t="shared" si="2"/>
        <v>888436.89</v>
      </c>
    </row>
    <row r="56" spans="1:24" s="142" customFormat="1" ht="12.75">
      <c r="A56" s="443"/>
      <c r="B56" s="223" t="s">
        <v>672</v>
      </c>
      <c r="C56" s="426"/>
      <c r="D56" s="426"/>
      <c r="E56" s="428"/>
      <c r="F56" s="434"/>
      <c r="G56" s="225">
        <v>0.0025</v>
      </c>
      <c r="H56" s="303">
        <v>2251.92</v>
      </c>
      <c r="I56" s="252">
        <f>4500-1680</f>
        <v>2820</v>
      </c>
      <c r="J56" s="252">
        <v>4485</v>
      </c>
      <c r="K56" s="252">
        <v>4465</v>
      </c>
      <c r="L56" s="252">
        <v>4390</v>
      </c>
      <c r="M56" s="252">
        <v>4270</v>
      </c>
      <c r="N56" s="252">
        <v>4040</v>
      </c>
      <c r="O56" s="252">
        <v>3705</v>
      </c>
      <c r="P56" s="252">
        <v>3335</v>
      </c>
      <c r="Q56" s="252">
        <v>2980</v>
      </c>
      <c r="R56" s="252">
        <v>2625</v>
      </c>
      <c r="S56" s="252">
        <v>2275</v>
      </c>
      <c r="T56" s="252">
        <v>1910</v>
      </c>
      <c r="U56" s="252">
        <v>1555</v>
      </c>
      <c r="V56" s="252">
        <v>1195</v>
      </c>
      <c r="W56" s="252">
        <v>1450</v>
      </c>
      <c r="X56" s="315">
        <f t="shared" si="2"/>
        <v>47751.92</v>
      </c>
    </row>
    <row r="57" spans="1:24" s="103" customFormat="1" ht="17.25" customHeight="1">
      <c r="A57" s="453">
        <v>26</v>
      </c>
      <c r="B57" s="326" t="s">
        <v>613</v>
      </c>
      <c r="C57" s="455" t="s">
        <v>787</v>
      </c>
      <c r="D57" s="455">
        <v>653</v>
      </c>
      <c r="E57" s="457">
        <f>74835+24822-0.26+294955-28536.73</f>
        <v>366075.01</v>
      </c>
      <c r="F57" s="494" t="s">
        <v>673</v>
      </c>
      <c r="G57" s="338" t="s">
        <v>616</v>
      </c>
      <c r="H57" s="345">
        <f>500.84+85688.98</f>
        <v>86189.81999999999</v>
      </c>
      <c r="I57" s="339">
        <v>27156</v>
      </c>
      <c r="J57" s="339">
        <v>27156</v>
      </c>
      <c r="K57" s="339">
        <v>27156</v>
      </c>
      <c r="L57" s="339">
        <v>27156</v>
      </c>
      <c r="M57" s="339">
        <v>27156</v>
      </c>
      <c r="N57" s="339">
        <v>27156</v>
      </c>
      <c r="O57" s="344">
        <v>13572</v>
      </c>
      <c r="P57" s="339"/>
      <c r="Q57" s="339"/>
      <c r="R57" s="339"/>
      <c r="S57" s="339"/>
      <c r="T57" s="339"/>
      <c r="U57" s="339"/>
      <c r="V57" s="339"/>
      <c r="W57" s="339"/>
      <c r="X57" s="320">
        <f t="shared" si="2"/>
        <v>262697.82</v>
      </c>
    </row>
    <row r="58" spans="1:24" s="103" customFormat="1" ht="18.75" customHeight="1">
      <c r="A58" s="454"/>
      <c r="B58" s="342" t="s">
        <v>674</v>
      </c>
      <c r="C58" s="456"/>
      <c r="D58" s="456"/>
      <c r="E58" s="458"/>
      <c r="F58" s="495"/>
      <c r="G58" s="322">
        <v>0.0025</v>
      </c>
      <c r="H58" s="343">
        <v>511.72</v>
      </c>
      <c r="I58" s="340">
        <f>870-330</f>
        <v>540</v>
      </c>
      <c r="J58" s="340">
        <v>740</v>
      </c>
      <c r="K58" s="340">
        <v>600</v>
      </c>
      <c r="L58" s="340">
        <v>465</v>
      </c>
      <c r="M58" s="340">
        <v>325</v>
      </c>
      <c r="N58" s="340">
        <v>190</v>
      </c>
      <c r="O58" s="340">
        <v>50</v>
      </c>
      <c r="P58" s="340"/>
      <c r="Q58" s="340"/>
      <c r="R58" s="340"/>
      <c r="S58" s="340"/>
      <c r="T58" s="340"/>
      <c r="U58" s="340"/>
      <c r="V58" s="340"/>
      <c r="W58" s="340"/>
      <c r="X58" s="325">
        <f t="shared" si="2"/>
        <v>3421.7200000000003</v>
      </c>
    </row>
    <row r="59" spans="1:24" s="103" customFormat="1" ht="12.75">
      <c r="A59" s="442">
        <v>27</v>
      </c>
      <c r="B59" s="221" t="s">
        <v>613</v>
      </c>
      <c r="C59" s="425" t="s">
        <v>675</v>
      </c>
      <c r="D59" s="425">
        <v>654</v>
      </c>
      <c r="E59" s="427">
        <v>74150</v>
      </c>
      <c r="F59" s="433" t="s">
        <v>676</v>
      </c>
      <c r="G59" s="222" t="s">
        <v>616</v>
      </c>
      <c r="H59" s="302">
        <v>500</v>
      </c>
      <c r="I59" s="251">
        <v>2000</v>
      </c>
      <c r="J59" s="251">
        <v>3000</v>
      </c>
      <c r="K59" s="251">
        <v>4380</v>
      </c>
      <c r="L59" s="251">
        <v>4760</v>
      </c>
      <c r="M59" s="251">
        <v>4760</v>
      </c>
      <c r="N59" s="251">
        <v>4760</v>
      </c>
      <c r="O59" s="251">
        <v>4760</v>
      </c>
      <c r="P59" s="251">
        <v>4760</v>
      </c>
      <c r="Q59" s="251">
        <v>4760</v>
      </c>
      <c r="R59" s="251">
        <v>4760</v>
      </c>
      <c r="S59" s="251">
        <v>4760</v>
      </c>
      <c r="T59" s="251">
        <v>4760</v>
      </c>
      <c r="U59" s="251">
        <v>4760</v>
      </c>
      <c r="V59" s="251">
        <v>4760</v>
      </c>
      <c r="W59" s="251">
        <v>11910</v>
      </c>
      <c r="X59" s="314">
        <f t="shared" si="2"/>
        <v>74150</v>
      </c>
    </row>
    <row r="60" spans="1:24" s="103" customFormat="1" ht="12.75">
      <c r="A60" s="443"/>
      <c r="B60" s="223" t="s">
        <v>677</v>
      </c>
      <c r="C60" s="426"/>
      <c r="D60" s="426"/>
      <c r="E60" s="428"/>
      <c r="F60" s="434"/>
      <c r="G60" s="225">
        <v>0.0025</v>
      </c>
      <c r="H60" s="303">
        <v>187.93</v>
      </c>
      <c r="I60" s="252">
        <f>375-140</f>
        <v>235</v>
      </c>
      <c r="J60" s="252">
        <v>365</v>
      </c>
      <c r="K60" s="252">
        <v>350</v>
      </c>
      <c r="L60" s="252">
        <v>325</v>
      </c>
      <c r="M60" s="252">
        <v>300</v>
      </c>
      <c r="N60" s="252">
        <v>275</v>
      </c>
      <c r="O60" s="252">
        <v>255</v>
      </c>
      <c r="P60" s="252">
        <v>230</v>
      </c>
      <c r="Q60" s="252">
        <v>205</v>
      </c>
      <c r="R60" s="252">
        <v>180</v>
      </c>
      <c r="S60" s="252">
        <v>155</v>
      </c>
      <c r="T60" s="252">
        <v>130</v>
      </c>
      <c r="U60" s="252">
        <v>105</v>
      </c>
      <c r="V60" s="252">
        <v>85</v>
      </c>
      <c r="W60" s="252">
        <v>100</v>
      </c>
      <c r="X60" s="315">
        <f t="shared" si="2"/>
        <v>3482.9300000000003</v>
      </c>
    </row>
    <row r="61" spans="1:24" s="103" customFormat="1" ht="20.25" customHeight="1">
      <c r="A61" s="453">
        <v>28</v>
      </c>
      <c r="B61" s="326" t="s">
        <v>613</v>
      </c>
      <c r="C61" s="455" t="s">
        <v>678</v>
      </c>
      <c r="D61" s="455">
        <v>655</v>
      </c>
      <c r="E61" s="457">
        <v>250000</v>
      </c>
      <c r="F61" s="494" t="s">
        <v>679</v>
      </c>
      <c r="G61" s="338" t="s">
        <v>616</v>
      </c>
      <c r="H61" s="341">
        <v>300</v>
      </c>
      <c r="I61" s="339">
        <v>1000</v>
      </c>
      <c r="J61" s="339">
        <v>2000</v>
      </c>
      <c r="K61" s="339">
        <v>3000</v>
      </c>
      <c r="L61" s="339">
        <v>6000</v>
      </c>
      <c r="M61" s="339">
        <v>18644</v>
      </c>
      <c r="N61" s="339">
        <v>18644</v>
      </c>
      <c r="O61" s="339">
        <v>18644</v>
      </c>
      <c r="P61" s="339">
        <v>18644</v>
      </c>
      <c r="Q61" s="339">
        <v>18644</v>
      </c>
      <c r="R61" s="339">
        <v>18644</v>
      </c>
      <c r="S61" s="339">
        <v>18644</v>
      </c>
      <c r="T61" s="339">
        <v>18644</v>
      </c>
      <c r="U61" s="339">
        <v>18644</v>
      </c>
      <c r="V61" s="339">
        <v>18644</v>
      </c>
      <c r="W61" s="339">
        <v>51260</v>
      </c>
      <c r="X61" s="320">
        <f t="shared" si="2"/>
        <v>250000</v>
      </c>
    </row>
    <row r="62" spans="1:24" s="103" customFormat="1" ht="21.75" customHeight="1">
      <c r="A62" s="454"/>
      <c r="B62" s="342" t="s">
        <v>680</v>
      </c>
      <c r="C62" s="456"/>
      <c r="D62" s="456"/>
      <c r="E62" s="458"/>
      <c r="F62" s="495"/>
      <c r="G62" s="322">
        <v>0.0025</v>
      </c>
      <c r="H62" s="343">
        <v>633.68</v>
      </c>
      <c r="I62" s="340">
        <f>1265-470</f>
        <v>795</v>
      </c>
      <c r="J62" s="340">
        <v>1260</v>
      </c>
      <c r="K62" s="340">
        <v>1255</v>
      </c>
      <c r="L62" s="340">
        <v>1235</v>
      </c>
      <c r="M62" s="340">
        <v>1190</v>
      </c>
      <c r="N62" s="340">
        <v>1100</v>
      </c>
      <c r="O62" s="340">
        <v>1005</v>
      </c>
      <c r="P62" s="340">
        <v>910</v>
      </c>
      <c r="Q62" s="340">
        <v>815</v>
      </c>
      <c r="R62" s="340">
        <v>720</v>
      </c>
      <c r="S62" s="340">
        <v>630</v>
      </c>
      <c r="T62" s="340">
        <v>530</v>
      </c>
      <c r="U62" s="340">
        <v>435</v>
      </c>
      <c r="V62" s="340">
        <v>340</v>
      </c>
      <c r="W62" s="340">
        <v>455</v>
      </c>
      <c r="X62" s="325">
        <f t="shared" si="2"/>
        <v>13308.68</v>
      </c>
    </row>
    <row r="63" spans="1:24" s="103" customFormat="1" ht="19.5" customHeight="1">
      <c r="A63" s="442">
        <v>29</v>
      </c>
      <c r="B63" s="221" t="s">
        <v>613</v>
      </c>
      <c r="C63" s="425" t="s">
        <v>681</v>
      </c>
      <c r="D63" s="425">
        <v>656</v>
      </c>
      <c r="E63" s="427">
        <v>4203541</v>
      </c>
      <c r="F63" s="433" t="s">
        <v>682</v>
      </c>
      <c r="G63" s="222" t="s">
        <v>616</v>
      </c>
      <c r="H63" s="301">
        <v>1000</v>
      </c>
      <c r="I63" s="258">
        <v>3000</v>
      </c>
      <c r="J63" s="258">
        <v>4000</v>
      </c>
      <c r="K63" s="258">
        <v>5000</v>
      </c>
      <c r="L63" s="258">
        <v>10000</v>
      </c>
      <c r="M63" s="258">
        <v>20000</v>
      </c>
      <c r="N63" s="258">
        <v>50000</v>
      </c>
      <c r="O63" s="258">
        <v>62000</v>
      </c>
      <c r="P63" s="258">
        <v>80000</v>
      </c>
      <c r="Q63" s="258">
        <v>223540</v>
      </c>
      <c r="R63" s="258">
        <v>223540</v>
      </c>
      <c r="S63" s="258">
        <v>223540</v>
      </c>
      <c r="T63" s="259">
        <v>223540</v>
      </c>
      <c r="U63" s="259">
        <v>223540</v>
      </c>
      <c r="V63" s="259">
        <v>223540</v>
      </c>
      <c r="W63" s="251">
        <v>2626551</v>
      </c>
      <c r="X63" s="314">
        <f t="shared" si="2"/>
        <v>4202791</v>
      </c>
    </row>
    <row r="64" spans="1:24" s="103" customFormat="1" ht="15.75" customHeight="1">
      <c r="A64" s="443"/>
      <c r="B64" s="223" t="s">
        <v>683</v>
      </c>
      <c r="C64" s="426"/>
      <c r="D64" s="426"/>
      <c r="E64" s="428"/>
      <c r="F64" s="434"/>
      <c r="G64" s="225">
        <v>0.0025</v>
      </c>
      <c r="H64" s="309">
        <v>10652.52</v>
      </c>
      <c r="I64" s="260">
        <f>21300-10650</f>
        <v>10650</v>
      </c>
      <c r="J64" s="260">
        <v>21285</v>
      </c>
      <c r="K64" s="260">
        <v>21320</v>
      </c>
      <c r="L64" s="260">
        <v>21235</v>
      </c>
      <c r="M64" s="260">
        <v>21175</v>
      </c>
      <c r="N64" s="260">
        <v>21045</v>
      </c>
      <c r="O64" s="260">
        <v>20840</v>
      </c>
      <c r="P64" s="260">
        <v>20455</v>
      </c>
      <c r="Q64" s="260">
        <v>19900</v>
      </c>
      <c r="R64" s="260">
        <v>18810</v>
      </c>
      <c r="S64" s="260">
        <v>17725</v>
      </c>
      <c r="T64" s="260">
        <v>16545</v>
      </c>
      <c r="U64" s="260">
        <v>15410</v>
      </c>
      <c r="V64" s="260">
        <v>14275</v>
      </c>
      <c r="W64" s="252">
        <v>82970</v>
      </c>
      <c r="X64" s="315">
        <f t="shared" si="2"/>
        <v>354292.52</v>
      </c>
    </row>
    <row r="65" spans="1:24" s="103" customFormat="1" ht="28.5" customHeight="1">
      <c r="A65" s="453">
        <v>30</v>
      </c>
      <c r="B65" s="326" t="s">
        <v>613</v>
      </c>
      <c r="C65" s="455" t="s">
        <v>684</v>
      </c>
      <c r="D65" s="455">
        <v>657</v>
      </c>
      <c r="E65" s="504">
        <v>546548</v>
      </c>
      <c r="F65" s="494" t="s">
        <v>685</v>
      </c>
      <c r="G65" s="338" t="s">
        <v>616</v>
      </c>
      <c r="H65" s="345">
        <f>250.15+5352.46+2293.91+53.55+22.95</f>
        <v>7973.0199999999995</v>
      </c>
      <c r="I65" s="339">
        <v>2250</v>
      </c>
      <c r="J65" s="339">
        <v>8000</v>
      </c>
      <c r="K65" s="339">
        <v>70472</v>
      </c>
      <c r="L65" s="339">
        <v>70472</v>
      </c>
      <c r="M65" s="339">
        <v>70472</v>
      </c>
      <c r="N65" s="339">
        <v>70472</v>
      </c>
      <c r="O65" s="344">
        <f>52844-5352.46-2293.91-53.55-22.95</f>
        <v>45121.130000000005</v>
      </c>
      <c r="P65" s="339"/>
      <c r="Q65" s="339"/>
      <c r="R65" s="339"/>
      <c r="S65" s="339"/>
      <c r="T65" s="334"/>
      <c r="U65" s="334"/>
      <c r="V65" s="334"/>
      <c r="W65" s="335"/>
      <c r="X65" s="320">
        <f t="shared" si="2"/>
        <v>345232.15</v>
      </c>
    </row>
    <row r="66" spans="1:24" s="103" customFormat="1" ht="22.5" customHeight="1">
      <c r="A66" s="454"/>
      <c r="B66" s="342" t="s">
        <v>686</v>
      </c>
      <c r="C66" s="456"/>
      <c r="D66" s="456"/>
      <c r="E66" s="505"/>
      <c r="F66" s="495"/>
      <c r="G66" s="322">
        <v>0.0025</v>
      </c>
      <c r="H66" s="343">
        <v>863.89</v>
      </c>
      <c r="I66" s="340">
        <f>1710-855</f>
        <v>855</v>
      </c>
      <c r="J66" s="340">
        <v>1695</v>
      </c>
      <c r="K66" s="340">
        <v>1595</v>
      </c>
      <c r="L66" s="340">
        <v>1250</v>
      </c>
      <c r="M66" s="340">
        <v>890</v>
      </c>
      <c r="N66" s="340">
        <v>535</v>
      </c>
      <c r="O66" s="340">
        <v>180</v>
      </c>
      <c r="P66" s="340"/>
      <c r="Q66" s="340"/>
      <c r="R66" s="340"/>
      <c r="S66" s="340"/>
      <c r="T66" s="337"/>
      <c r="U66" s="337"/>
      <c r="V66" s="337"/>
      <c r="W66" s="337"/>
      <c r="X66" s="325">
        <f t="shared" si="2"/>
        <v>7863.889999999999</v>
      </c>
    </row>
    <row r="67" spans="1:24" s="103" customFormat="1" ht="20.25" customHeight="1">
      <c r="A67" s="442">
        <v>31</v>
      </c>
      <c r="B67" s="221" t="s">
        <v>613</v>
      </c>
      <c r="C67" s="425" t="s">
        <v>687</v>
      </c>
      <c r="D67" s="425">
        <v>658</v>
      </c>
      <c r="E67" s="427">
        <f>149917-0.42</f>
        <v>149916.58</v>
      </c>
      <c r="F67" s="433" t="s">
        <v>688</v>
      </c>
      <c r="G67" s="222" t="s">
        <v>616</v>
      </c>
      <c r="H67" s="302">
        <v>200</v>
      </c>
      <c r="I67" s="251">
        <v>1000</v>
      </c>
      <c r="J67" s="251">
        <v>1000</v>
      </c>
      <c r="K67" s="251">
        <v>2000</v>
      </c>
      <c r="L67" s="251">
        <v>2000</v>
      </c>
      <c r="M67" s="251">
        <v>11272</v>
      </c>
      <c r="N67" s="251">
        <v>11272</v>
      </c>
      <c r="O67" s="251">
        <v>11272</v>
      </c>
      <c r="P67" s="251">
        <v>11272</v>
      </c>
      <c r="Q67" s="251">
        <v>11272</v>
      </c>
      <c r="R67" s="251">
        <v>11272</v>
      </c>
      <c r="S67" s="251">
        <v>11272</v>
      </c>
      <c r="T67" s="251">
        <v>11272</v>
      </c>
      <c r="U67" s="251">
        <f>11272</f>
        <v>11272</v>
      </c>
      <c r="V67" s="251">
        <v>11272</v>
      </c>
      <c r="W67" s="261">
        <v>30996.58</v>
      </c>
      <c r="X67" s="314">
        <f t="shared" si="2"/>
        <v>149916.58000000002</v>
      </c>
    </row>
    <row r="68" spans="1:24" s="103" customFormat="1" ht="18.75" customHeight="1">
      <c r="A68" s="443"/>
      <c r="B68" s="223" t="s">
        <v>686</v>
      </c>
      <c r="C68" s="426"/>
      <c r="D68" s="426"/>
      <c r="E68" s="428"/>
      <c r="F68" s="434"/>
      <c r="G68" s="225">
        <v>0.0025</v>
      </c>
      <c r="H68" s="303">
        <v>379.99</v>
      </c>
      <c r="I68" s="252">
        <f>760-380</f>
        <v>380</v>
      </c>
      <c r="J68" s="252">
        <v>755</v>
      </c>
      <c r="K68" s="252">
        <v>750</v>
      </c>
      <c r="L68" s="252">
        <v>740</v>
      </c>
      <c r="M68" s="252">
        <v>720</v>
      </c>
      <c r="N68" s="252">
        <v>665</v>
      </c>
      <c r="O68" s="252">
        <v>610</v>
      </c>
      <c r="P68" s="252">
        <v>550</v>
      </c>
      <c r="Q68" s="252">
        <v>495</v>
      </c>
      <c r="R68" s="252">
        <v>435</v>
      </c>
      <c r="S68" s="252">
        <v>380</v>
      </c>
      <c r="T68" s="252">
        <v>320</v>
      </c>
      <c r="U68" s="252">
        <v>265</v>
      </c>
      <c r="V68" s="252">
        <v>210</v>
      </c>
      <c r="W68" s="252">
        <v>275</v>
      </c>
      <c r="X68" s="315">
        <f t="shared" si="2"/>
        <v>7929.99</v>
      </c>
    </row>
    <row r="69" spans="1:24" s="103" customFormat="1" ht="12.75">
      <c r="A69" s="453">
        <v>32</v>
      </c>
      <c r="B69" s="326" t="s">
        <v>613</v>
      </c>
      <c r="C69" s="455" t="s">
        <v>262</v>
      </c>
      <c r="D69" s="455">
        <v>660</v>
      </c>
      <c r="E69" s="457">
        <f>2825528-170000-458838.25</f>
        <v>2196689.75</v>
      </c>
      <c r="F69" s="494" t="s">
        <v>689</v>
      </c>
      <c r="G69" s="338" t="s">
        <v>616</v>
      </c>
      <c r="H69" s="333">
        <v>0</v>
      </c>
      <c r="I69" s="335">
        <v>3000.5</v>
      </c>
      <c r="J69" s="334">
        <v>5000</v>
      </c>
      <c r="K69" s="334">
        <v>5000</v>
      </c>
      <c r="L69" s="334">
        <v>5000</v>
      </c>
      <c r="M69" s="334">
        <v>10000</v>
      </c>
      <c r="N69" s="334">
        <v>15000</v>
      </c>
      <c r="O69" s="335">
        <v>92432</v>
      </c>
      <c r="P69" s="335">
        <v>92432</v>
      </c>
      <c r="Q69" s="335">
        <v>92432</v>
      </c>
      <c r="R69" s="335">
        <v>92432</v>
      </c>
      <c r="S69" s="335">
        <v>92432</v>
      </c>
      <c r="T69" s="335">
        <v>92432</v>
      </c>
      <c r="U69" s="335">
        <v>92432</v>
      </c>
      <c r="V69" s="335">
        <v>92432</v>
      </c>
      <c r="W69" s="335">
        <v>1224752</v>
      </c>
      <c r="X69" s="320">
        <f t="shared" si="2"/>
        <v>2007208.5</v>
      </c>
    </row>
    <row r="70" spans="1:24" s="103" customFormat="1" ht="12.75">
      <c r="A70" s="454"/>
      <c r="B70" s="342" t="s">
        <v>690</v>
      </c>
      <c r="C70" s="456"/>
      <c r="D70" s="456"/>
      <c r="E70" s="458"/>
      <c r="F70" s="495"/>
      <c r="G70" s="346">
        <v>0.00359</v>
      </c>
      <c r="H70" s="336">
        <v>6199.87</v>
      </c>
      <c r="I70" s="337">
        <f>10175-2535</f>
        <v>7640</v>
      </c>
      <c r="J70" s="337">
        <v>10160</v>
      </c>
      <c r="K70" s="337">
        <v>10160</v>
      </c>
      <c r="L70" s="337">
        <v>10110</v>
      </c>
      <c r="M70" s="337">
        <v>10075</v>
      </c>
      <c r="N70" s="337">
        <v>10025</v>
      </c>
      <c r="O70" s="337">
        <v>9895</v>
      </c>
      <c r="P70" s="337">
        <v>9420</v>
      </c>
      <c r="Q70" s="337">
        <v>8950</v>
      </c>
      <c r="R70" s="337">
        <v>8480</v>
      </c>
      <c r="S70" s="337">
        <v>8035</v>
      </c>
      <c r="T70" s="337">
        <v>7545</v>
      </c>
      <c r="U70" s="337">
        <v>7075</v>
      </c>
      <c r="V70" s="337">
        <v>6610</v>
      </c>
      <c r="W70" s="337">
        <v>43345</v>
      </c>
      <c r="X70" s="325">
        <f t="shared" si="2"/>
        <v>173724.87</v>
      </c>
    </row>
    <row r="71" spans="1:24" s="103" customFormat="1" ht="12.75">
      <c r="A71" s="442">
        <v>33</v>
      </c>
      <c r="B71" s="221" t="s">
        <v>613</v>
      </c>
      <c r="C71" s="425" t="s">
        <v>401</v>
      </c>
      <c r="D71" s="425">
        <v>661</v>
      </c>
      <c r="E71" s="427">
        <v>1946578</v>
      </c>
      <c r="F71" s="433" t="s">
        <v>691</v>
      </c>
      <c r="G71" s="222" t="s">
        <v>616</v>
      </c>
      <c r="H71" s="311">
        <f>165954.64</f>
        <v>165954.64</v>
      </c>
      <c r="I71" s="261">
        <v>3000.43</v>
      </c>
      <c r="J71" s="251">
        <v>5000</v>
      </c>
      <c r="K71" s="251">
        <v>5000</v>
      </c>
      <c r="L71" s="251">
        <v>5000</v>
      </c>
      <c r="M71" s="251">
        <v>10000</v>
      </c>
      <c r="N71" s="251">
        <v>15000</v>
      </c>
      <c r="O71" s="251">
        <v>73732</v>
      </c>
      <c r="P71" s="251">
        <v>73732</v>
      </c>
      <c r="Q71" s="251">
        <v>73732</v>
      </c>
      <c r="R71" s="251">
        <v>73732</v>
      </c>
      <c r="S71" s="251">
        <v>73732</v>
      </c>
      <c r="T71" s="251">
        <v>73732</v>
      </c>
      <c r="U71" s="251">
        <v>73732</v>
      </c>
      <c r="V71" s="251">
        <v>73732</v>
      </c>
      <c r="W71" s="261">
        <v>976976</v>
      </c>
      <c r="X71" s="314">
        <f aca="true" t="shared" si="3" ref="X71:X102">SUM(H71:W71)</f>
        <v>1775787.07</v>
      </c>
    </row>
    <row r="72" spans="1:24" s="103" customFormat="1" ht="12.75">
      <c r="A72" s="443"/>
      <c r="B72" s="223" t="s">
        <v>692</v>
      </c>
      <c r="C72" s="426"/>
      <c r="D72" s="426"/>
      <c r="E72" s="428"/>
      <c r="F72" s="434"/>
      <c r="G72" s="229">
        <v>0.00631</v>
      </c>
      <c r="H72" s="303">
        <v>8457.01</v>
      </c>
      <c r="I72" s="252">
        <v>6125</v>
      </c>
      <c r="J72" s="252">
        <v>8145</v>
      </c>
      <c r="K72" s="252">
        <v>8140</v>
      </c>
      <c r="L72" s="252">
        <v>8095</v>
      </c>
      <c r="M72" s="252">
        <v>8065</v>
      </c>
      <c r="N72" s="252">
        <v>8010</v>
      </c>
      <c r="O72" s="252">
        <v>7895</v>
      </c>
      <c r="P72" s="252">
        <v>7515</v>
      </c>
      <c r="Q72" s="252">
        <v>7140</v>
      </c>
      <c r="R72" s="252">
        <v>6765</v>
      </c>
      <c r="S72" s="252">
        <v>6410</v>
      </c>
      <c r="T72" s="252">
        <v>6020</v>
      </c>
      <c r="U72" s="252">
        <v>5645</v>
      </c>
      <c r="V72" s="252">
        <v>5270</v>
      </c>
      <c r="W72" s="252">
        <v>34580</v>
      </c>
      <c r="X72" s="315">
        <f t="shared" si="3"/>
        <v>142277.01</v>
      </c>
    </row>
    <row r="73" spans="1:24" s="103" customFormat="1" ht="20.25" customHeight="1">
      <c r="A73" s="453">
        <v>34</v>
      </c>
      <c r="B73" s="326" t="s">
        <v>613</v>
      </c>
      <c r="C73" s="455" t="s">
        <v>261</v>
      </c>
      <c r="D73" s="455">
        <v>662</v>
      </c>
      <c r="E73" s="457">
        <f>2100900-400000-20542</f>
        <v>1680358</v>
      </c>
      <c r="F73" s="494" t="s">
        <v>693</v>
      </c>
      <c r="G73" s="338" t="s">
        <v>616</v>
      </c>
      <c r="H73" s="341"/>
      <c r="I73" s="344">
        <v>3000.32</v>
      </c>
      <c r="J73" s="339">
        <v>6000</v>
      </c>
      <c r="K73" s="339">
        <v>10000</v>
      </c>
      <c r="L73" s="339">
        <v>20000</v>
      </c>
      <c r="M73" s="339">
        <v>43956</v>
      </c>
      <c r="N73" s="339">
        <v>43956</v>
      </c>
      <c r="O73" s="339">
        <v>43956</v>
      </c>
      <c r="P73" s="339">
        <v>43956</v>
      </c>
      <c r="Q73" s="339">
        <v>43956</v>
      </c>
      <c r="R73" s="339">
        <v>43956</v>
      </c>
      <c r="S73" s="339">
        <v>43956</v>
      </c>
      <c r="T73" s="339">
        <v>43956</v>
      </c>
      <c r="U73" s="339">
        <v>43956</v>
      </c>
      <c r="V73" s="339">
        <v>43956</v>
      </c>
      <c r="W73" s="339">
        <v>582400</v>
      </c>
      <c r="X73" s="320">
        <f t="shared" si="3"/>
        <v>1060960.32</v>
      </c>
    </row>
    <row r="74" spans="1:24" s="103" customFormat="1" ht="18.75" customHeight="1">
      <c r="A74" s="454"/>
      <c r="B74" s="342" t="s">
        <v>694</v>
      </c>
      <c r="C74" s="456"/>
      <c r="D74" s="456"/>
      <c r="E74" s="458"/>
      <c r="F74" s="495"/>
      <c r="G74" s="322">
        <v>0.0025</v>
      </c>
      <c r="H74" s="343">
        <v>2696.06</v>
      </c>
      <c r="I74" s="340">
        <v>4040</v>
      </c>
      <c r="J74" s="340">
        <v>5360</v>
      </c>
      <c r="K74" s="340">
        <v>5340</v>
      </c>
      <c r="L74" s="340">
        <v>5265</v>
      </c>
      <c r="M74" s="340">
        <v>5140</v>
      </c>
      <c r="N74" s="340">
        <v>4925</v>
      </c>
      <c r="O74" s="340">
        <v>4715</v>
      </c>
      <c r="P74" s="340">
        <v>4480</v>
      </c>
      <c r="Q74" s="340">
        <v>4260</v>
      </c>
      <c r="R74" s="340">
        <v>4035</v>
      </c>
      <c r="S74" s="340">
        <v>3820</v>
      </c>
      <c r="T74" s="340">
        <v>3590</v>
      </c>
      <c r="U74" s="340">
        <v>3365</v>
      </c>
      <c r="V74" s="340">
        <v>3145</v>
      </c>
      <c r="W74" s="340">
        <v>20610</v>
      </c>
      <c r="X74" s="325">
        <f t="shared" si="3"/>
        <v>84786.06</v>
      </c>
    </row>
    <row r="75" spans="1:24" s="103" customFormat="1" ht="12.75">
      <c r="A75" s="442">
        <v>35</v>
      </c>
      <c r="B75" s="221" t="s">
        <v>613</v>
      </c>
      <c r="C75" s="425" t="s">
        <v>695</v>
      </c>
      <c r="D75" s="425">
        <v>663</v>
      </c>
      <c r="E75" s="427">
        <f>10367403-84075.7</f>
        <v>10283327.3</v>
      </c>
      <c r="F75" s="433" t="s">
        <v>696</v>
      </c>
      <c r="G75" s="222" t="s">
        <v>616</v>
      </c>
      <c r="H75" s="302"/>
      <c r="I75" s="261">
        <v>3000.3</v>
      </c>
      <c r="J75" s="251">
        <v>6000</v>
      </c>
      <c r="K75" s="251">
        <v>10000</v>
      </c>
      <c r="L75" s="251">
        <v>20000</v>
      </c>
      <c r="M75" s="251">
        <v>28000</v>
      </c>
      <c r="N75" s="251">
        <v>40000</v>
      </c>
      <c r="O75" s="251">
        <v>80000</v>
      </c>
      <c r="P75" s="251">
        <v>200000</v>
      </c>
      <c r="Q75" s="251">
        <v>400000</v>
      </c>
      <c r="R75" s="251">
        <v>520348</v>
      </c>
      <c r="S75" s="251">
        <v>520348</v>
      </c>
      <c r="T75" s="251">
        <v>520348</v>
      </c>
      <c r="U75" s="251">
        <v>520348</v>
      </c>
      <c r="V75" s="251">
        <v>520348</v>
      </c>
      <c r="W75" s="251">
        <v>6894587</v>
      </c>
      <c r="X75" s="314">
        <f t="shared" si="3"/>
        <v>10283327.3</v>
      </c>
    </row>
    <row r="76" spans="1:24" s="103" customFormat="1" ht="12.75">
      <c r="A76" s="443"/>
      <c r="B76" s="223" t="s">
        <v>697</v>
      </c>
      <c r="C76" s="426"/>
      <c r="D76" s="426"/>
      <c r="E76" s="428"/>
      <c r="F76" s="434"/>
      <c r="G76" s="225">
        <v>0.0025</v>
      </c>
      <c r="H76" s="303">
        <v>25288.94</v>
      </c>
      <c r="I76" s="252">
        <v>32635</v>
      </c>
      <c r="J76" s="252">
        <v>52115</v>
      </c>
      <c r="K76" s="252">
        <v>52220</v>
      </c>
      <c r="L76" s="252">
        <v>52020</v>
      </c>
      <c r="M76" s="252">
        <v>51910</v>
      </c>
      <c r="N76" s="252">
        <v>51760</v>
      </c>
      <c r="O76" s="252">
        <v>51660</v>
      </c>
      <c r="P76" s="252">
        <v>50995</v>
      </c>
      <c r="Q76" s="252">
        <v>49805</v>
      </c>
      <c r="R76" s="252">
        <v>47705</v>
      </c>
      <c r="S76" s="252">
        <v>45225</v>
      </c>
      <c r="T76" s="252">
        <v>42460</v>
      </c>
      <c r="U76" s="252">
        <v>39825</v>
      </c>
      <c r="V76" s="252">
        <v>37185</v>
      </c>
      <c r="W76" s="252">
        <v>244000</v>
      </c>
      <c r="X76" s="315">
        <f t="shared" si="3"/>
        <v>926808.94</v>
      </c>
    </row>
    <row r="77" spans="1:24" s="103" customFormat="1" ht="12.75">
      <c r="A77" s="442">
        <v>36</v>
      </c>
      <c r="B77" s="221" t="s">
        <v>613</v>
      </c>
      <c r="C77" s="425" t="s">
        <v>248</v>
      </c>
      <c r="D77" s="425">
        <v>665</v>
      </c>
      <c r="E77" s="427">
        <f>158248.54+2664102</f>
        <v>2822350.54</v>
      </c>
      <c r="F77" s="433" t="s">
        <v>696</v>
      </c>
      <c r="G77" s="222" t="s">
        <v>616</v>
      </c>
      <c r="H77" s="302"/>
      <c r="I77" s="251">
        <v>3000</v>
      </c>
      <c r="J77" s="251">
        <v>6000</v>
      </c>
      <c r="K77" s="251">
        <v>8000</v>
      </c>
      <c r="L77" s="251">
        <v>16000</v>
      </c>
      <c r="M77" s="251">
        <v>32000</v>
      </c>
      <c r="N77" s="251">
        <v>60000</v>
      </c>
      <c r="O77" s="251">
        <v>80000</v>
      </c>
      <c r="P77" s="251">
        <v>121436</v>
      </c>
      <c r="Q77" s="251">
        <v>121436</v>
      </c>
      <c r="R77" s="251">
        <v>121436</v>
      </c>
      <c r="S77" s="251">
        <v>121436</v>
      </c>
      <c r="T77" s="251">
        <v>121436</v>
      </c>
      <c r="U77" s="251">
        <v>121436</v>
      </c>
      <c r="V77" s="251">
        <v>121436</v>
      </c>
      <c r="W77" s="261">
        <v>1609050</v>
      </c>
      <c r="X77" s="314">
        <f t="shared" si="3"/>
        <v>2664102</v>
      </c>
    </row>
    <row r="78" spans="1:24" s="103" customFormat="1" ht="12.75">
      <c r="A78" s="443"/>
      <c r="B78" s="223" t="s">
        <v>698</v>
      </c>
      <c r="C78" s="426"/>
      <c r="D78" s="426"/>
      <c r="E78" s="428"/>
      <c r="F78" s="434"/>
      <c r="G78" s="225">
        <v>0.0025</v>
      </c>
      <c r="H78" s="303">
        <v>6730.39</v>
      </c>
      <c r="I78" s="252">
        <v>8455</v>
      </c>
      <c r="J78" s="252">
        <v>13490</v>
      </c>
      <c r="K78" s="252">
        <v>13490</v>
      </c>
      <c r="L78" s="252">
        <v>13405</v>
      </c>
      <c r="M78" s="252">
        <v>13310</v>
      </c>
      <c r="N78" s="252">
        <v>13125</v>
      </c>
      <c r="O78" s="252">
        <v>12840</v>
      </c>
      <c r="P78" s="252">
        <v>12360</v>
      </c>
      <c r="Q78" s="252">
        <v>11760</v>
      </c>
      <c r="R78" s="252">
        <v>11145</v>
      </c>
      <c r="S78" s="252">
        <v>10555</v>
      </c>
      <c r="T78" s="252">
        <v>9910</v>
      </c>
      <c r="U78" s="252">
        <v>9295</v>
      </c>
      <c r="V78" s="252">
        <v>8680</v>
      </c>
      <c r="W78" s="252">
        <v>56945</v>
      </c>
      <c r="X78" s="315">
        <f t="shared" si="3"/>
        <v>225495.39</v>
      </c>
    </row>
    <row r="79" spans="1:24" s="103" customFormat="1" ht="16.5" customHeight="1">
      <c r="A79" s="442">
        <v>37</v>
      </c>
      <c r="B79" s="221" t="s">
        <v>613</v>
      </c>
      <c r="C79" s="425" t="s">
        <v>699</v>
      </c>
      <c r="D79" s="425">
        <v>666</v>
      </c>
      <c r="E79" s="427">
        <f>663930-19547.23</f>
        <v>644382.77</v>
      </c>
      <c r="F79" s="433" t="s">
        <v>696</v>
      </c>
      <c r="G79" s="222" t="s">
        <v>616</v>
      </c>
      <c r="H79" s="302"/>
      <c r="I79" s="261">
        <v>3000.77</v>
      </c>
      <c r="J79" s="251">
        <v>6000</v>
      </c>
      <c r="K79" s="251">
        <v>10000</v>
      </c>
      <c r="L79" s="251">
        <v>20000</v>
      </c>
      <c r="M79" s="251">
        <v>26040</v>
      </c>
      <c r="N79" s="251">
        <v>26040</v>
      </c>
      <c r="O79" s="251">
        <v>26040</v>
      </c>
      <c r="P79" s="251">
        <v>26040</v>
      </c>
      <c r="Q79" s="251">
        <v>26040</v>
      </c>
      <c r="R79" s="251">
        <v>26040</v>
      </c>
      <c r="S79" s="251">
        <v>26040</v>
      </c>
      <c r="T79" s="251">
        <v>26040</v>
      </c>
      <c r="U79" s="251">
        <v>26040</v>
      </c>
      <c r="V79" s="251">
        <v>26040</v>
      </c>
      <c r="W79" s="251">
        <v>344982</v>
      </c>
      <c r="X79" s="314">
        <f t="shared" si="3"/>
        <v>644382.77</v>
      </c>
    </row>
    <row r="80" spans="1:24" s="103" customFormat="1" ht="15.75" customHeight="1">
      <c r="A80" s="443"/>
      <c r="B80" s="223" t="s">
        <v>700</v>
      </c>
      <c r="C80" s="426"/>
      <c r="D80" s="426"/>
      <c r="E80" s="428"/>
      <c r="F80" s="434"/>
      <c r="G80" s="225">
        <v>0.0025</v>
      </c>
      <c r="H80" s="303">
        <v>1633.33</v>
      </c>
      <c r="I80" s="252">
        <v>2045</v>
      </c>
      <c r="J80" s="252">
        <v>3250</v>
      </c>
      <c r="K80" s="252">
        <v>3225</v>
      </c>
      <c r="L80" s="252">
        <v>3155</v>
      </c>
      <c r="M80" s="252">
        <v>3050</v>
      </c>
      <c r="N80" s="252">
        <v>2920</v>
      </c>
      <c r="O80" s="252">
        <v>2795</v>
      </c>
      <c r="P80" s="252">
        <v>2655</v>
      </c>
      <c r="Q80" s="252">
        <v>2525</v>
      </c>
      <c r="R80" s="252">
        <v>2390</v>
      </c>
      <c r="S80" s="252">
        <v>2265</v>
      </c>
      <c r="T80" s="252">
        <v>2125</v>
      </c>
      <c r="U80" s="252">
        <v>1995</v>
      </c>
      <c r="V80" s="252">
        <v>1865</v>
      </c>
      <c r="W80" s="252">
        <v>12210</v>
      </c>
      <c r="X80" s="315">
        <f t="shared" si="3"/>
        <v>50103.33</v>
      </c>
    </row>
    <row r="81" spans="1:24" s="99" customFormat="1" ht="12.75">
      <c r="A81" s="453">
        <v>38</v>
      </c>
      <c r="B81" s="326" t="s">
        <v>613</v>
      </c>
      <c r="C81" s="455" t="s">
        <v>401</v>
      </c>
      <c r="D81" s="455">
        <v>667</v>
      </c>
      <c r="E81" s="457">
        <v>158028</v>
      </c>
      <c r="F81" s="494" t="s">
        <v>701</v>
      </c>
      <c r="G81" s="338" t="s">
        <v>616</v>
      </c>
      <c r="H81" s="345">
        <f>158028</f>
        <v>158028</v>
      </c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20">
        <f t="shared" si="3"/>
        <v>158028</v>
      </c>
    </row>
    <row r="82" spans="1:24" s="99" customFormat="1" ht="12.75">
      <c r="A82" s="454"/>
      <c r="B82" s="342" t="s">
        <v>702</v>
      </c>
      <c r="C82" s="456"/>
      <c r="D82" s="456"/>
      <c r="E82" s="458"/>
      <c r="F82" s="495"/>
      <c r="G82" s="346">
        <f>0.892%-0.328%</f>
        <v>0.005640000000000001</v>
      </c>
      <c r="H82" s="343">
        <f>534.77</f>
        <v>534.77</v>
      </c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25">
        <f t="shared" si="3"/>
        <v>534.77</v>
      </c>
    </row>
    <row r="83" spans="1:24" s="99" customFormat="1" ht="12.75">
      <c r="A83" s="442">
        <v>39</v>
      </c>
      <c r="B83" s="221" t="s">
        <v>613</v>
      </c>
      <c r="C83" s="425" t="s">
        <v>703</v>
      </c>
      <c r="D83" s="425">
        <v>668</v>
      </c>
      <c r="E83" s="427">
        <v>352110</v>
      </c>
      <c r="F83" s="433" t="s">
        <v>704</v>
      </c>
      <c r="G83" s="230" t="s">
        <v>616</v>
      </c>
      <c r="H83" s="302"/>
      <c r="I83" s="251"/>
      <c r="J83" s="251">
        <v>10142</v>
      </c>
      <c r="K83" s="251">
        <v>20416</v>
      </c>
      <c r="L83" s="251">
        <v>20416</v>
      </c>
      <c r="M83" s="251">
        <v>20416</v>
      </c>
      <c r="N83" s="251">
        <v>20416</v>
      </c>
      <c r="O83" s="251">
        <v>20416</v>
      </c>
      <c r="P83" s="251">
        <v>20416</v>
      </c>
      <c r="Q83" s="251">
        <v>20416</v>
      </c>
      <c r="R83" s="251">
        <v>20416</v>
      </c>
      <c r="S83" s="251">
        <v>20416</v>
      </c>
      <c r="T83" s="251">
        <v>20416</v>
      </c>
      <c r="U83" s="251">
        <v>20416</v>
      </c>
      <c r="V83" s="251">
        <v>20416</v>
      </c>
      <c r="W83" s="251">
        <v>96976</v>
      </c>
      <c r="X83" s="314">
        <f t="shared" si="3"/>
        <v>352110</v>
      </c>
    </row>
    <row r="84" spans="1:24" s="99" customFormat="1" ht="12.75">
      <c r="A84" s="443"/>
      <c r="B84" s="223" t="s">
        <v>705</v>
      </c>
      <c r="C84" s="426"/>
      <c r="D84" s="426"/>
      <c r="E84" s="428"/>
      <c r="F84" s="434"/>
      <c r="G84" s="229">
        <f>0.362%</f>
        <v>0.00362</v>
      </c>
      <c r="H84" s="303">
        <v>1219.4</v>
      </c>
      <c r="I84" s="252">
        <v>1120</v>
      </c>
      <c r="J84" s="252">
        <v>1785</v>
      </c>
      <c r="K84" s="252">
        <v>1725</v>
      </c>
      <c r="L84" s="252">
        <v>1620</v>
      </c>
      <c r="M84" s="252">
        <v>1515</v>
      </c>
      <c r="N84" s="252">
        <v>1410</v>
      </c>
      <c r="O84" s="252">
        <v>1310</v>
      </c>
      <c r="P84" s="252">
        <v>1205</v>
      </c>
      <c r="Q84" s="252">
        <v>1100</v>
      </c>
      <c r="R84" s="252">
        <v>995</v>
      </c>
      <c r="S84" s="252">
        <v>895</v>
      </c>
      <c r="T84" s="252">
        <v>790</v>
      </c>
      <c r="U84" s="252">
        <v>685</v>
      </c>
      <c r="V84" s="252">
        <v>580</v>
      </c>
      <c r="W84" s="252">
        <v>1345</v>
      </c>
      <c r="X84" s="315">
        <f t="shared" si="3"/>
        <v>19299.4</v>
      </c>
    </row>
    <row r="85" spans="1:24" s="99" customFormat="1" ht="12.75">
      <c r="A85" s="453">
        <v>40</v>
      </c>
      <c r="B85" s="326" t="s">
        <v>613</v>
      </c>
      <c r="C85" s="455" t="s">
        <v>706</v>
      </c>
      <c r="D85" s="455">
        <v>669</v>
      </c>
      <c r="E85" s="457">
        <v>403410</v>
      </c>
      <c r="F85" s="494" t="s">
        <v>704</v>
      </c>
      <c r="G85" s="338" t="s">
        <v>616</v>
      </c>
      <c r="H85" s="341"/>
      <c r="I85" s="339"/>
      <c r="J85" s="339">
        <v>11661</v>
      </c>
      <c r="K85" s="339">
        <v>23388</v>
      </c>
      <c r="L85" s="339">
        <v>23388</v>
      </c>
      <c r="M85" s="339">
        <v>23388</v>
      </c>
      <c r="N85" s="339">
        <v>23388</v>
      </c>
      <c r="O85" s="339">
        <v>23388</v>
      </c>
      <c r="P85" s="339">
        <v>23388</v>
      </c>
      <c r="Q85" s="339">
        <v>23388</v>
      </c>
      <c r="R85" s="339">
        <v>23388</v>
      </c>
      <c r="S85" s="339">
        <v>23388</v>
      </c>
      <c r="T85" s="339">
        <v>23388</v>
      </c>
      <c r="U85" s="339">
        <v>23388</v>
      </c>
      <c r="V85" s="339">
        <v>23388</v>
      </c>
      <c r="W85" s="339">
        <v>111093</v>
      </c>
      <c r="X85" s="320">
        <f t="shared" si="3"/>
        <v>403410</v>
      </c>
    </row>
    <row r="86" spans="1:24" s="99" customFormat="1" ht="12.75">
      <c r="A86" s="454"/>
      <c r="B86" s="342" t="s">
        <v>707</v>
      </c>
      <c r="C86" s="456"/>
      <c r="D86" s="456"/>
      <c r="E86" s="458"/>
      <c r="F86" s="495"/>
      <c r="G86" s="346">
        <f>0.362%</f>
        <v>0.00362</v>
      </c>
      <c r="H86" s="343">
        <v>1384.01</v>
      </c>
      <c r="I86" s="340">
        <v>1285</v>
      </c>
      <c r="J86" s="340">
        <v>2045</v>
      </c>
      <c r="K86" s="340">
        <v>1975</v>
      </c>
      <c r="L86" s="340">
        <v>1850</v>
      </c>
      <c r="M86" s="340">
        <v>1735</v>
      </c>
      <c r="N86" s="340">
        <v>1615</v>
      </c>
      <c r="O86" s="340">
        <v>1500</v>
      </c>
      <c r="P86" s="340">
        <v>1375</v>
      </c>
      <c r="Q86" s="340">
        <v>1260</v>
      </c>
      <c r="R86" s="340">
        <v>1140</v>
      </c>
      <c r="S86" s="340">
        <v>1025</v>
      </c>
      <c r="T86" s="340">
        <v>905</v>
      </c>
      <c r="U86" s="340">
        <v>785</v>
      </c>
      <c r="V86" s="340">
        <v>665</v>
      </c>
      <c r="W86" s="340">
        <v>1545</v>
      </c>
      <c r="X86" s="325">
        <f t="shared" si="3"/>
        <v>22089.010000000002</v>
      </c>
    </row>
    <row r="87" spans="1:24" s="99" customFormat="1" ht="12.75">
      <c r="A87" s="442">
        <v>41</v>
      </c>
      <c r="B87" s="221" t="s">
        <v>613</v>
      </c>
      <c r="C87" s="425" t="s">
        <v>708</v>
      </c>
      <c r="D87" s="425">
        <v>670</v>
      </c>
      <c r="E87" s="427">
        <f>848543-24.81</f>
        <v>848518.19</v>
      </c>
      <c r="F87" s="433" t="s">
        <v>709</v>
      </c>
      <c r="G87" s="222" t="s">
        <v>616</v>
      </c>
      <c r="H87" s="311">
        <f>7475.67+311748.05</f>
        <v>319223.72</v>
      </c>
      <c r="I87" s="251"/>
      <c r="J87" s="261">
        <v>500.47</v>
      </c>
      <c r="K87" s="251">
        <v>2000</v>
      </c>
      <c r="L87" s="251">
        <v>4000</v>
      </c>
      <c r="M87" s="251">
        <v>8000</v>
      </c>
      <c r="N87" s="251">
        <v>20000</v>
      </c>
      <c r="O87" s="251">
        <f>36180-14188</f>
        <v>21992</v>
      </c>
      <c r="P87" s="251">
        <f aca="true" t="shared" si="4" ref="P87:V87">36180-14188</f>
        <v>21992</v>
      </c>
      <c r="Q87" s="251">
        <f t="shared" si="4"/>
        <v>21992</v>
      </c>
      <c r="R87" s="251">
        <f t="shared" si="4"/>
        <v>21992</v>
      </c>
      <c r="S87" s="251">
        <f t="shared" si="4"/>
        <v>21992</v>
      </c>
      <c r="T87" s="251">
        <f t="shared" si="4"/>
        <v>21992</v>
      </c>
      <c r="U87" s="251">
        <f t="shared" si="4"/>
        <v>21992</v>
      </c>
      <c r="V87" s="251">
        <f t="shared" si="4"/>
        <v>21992</v>
      </c>
      <c r="W87" s="261">
        <v>318858</v>
      </c>
      <c r="X87" s="314">
        <f t="shared" si="3"/>
        <v>848518.19</v>
      </c>
    </row>
    <row r="88" spans="1:24" s="99" customFormat="1" ht="12.75">
      <c r="A88" s="443"/>
      <c r="B88" s="223" t="s">
        <v>710</v>
      </c>
      <c r="C88" s="426"/>
      <c r="D88" s="426"/>
      <c r="E88" s="428"/>
      <c r="F88" s="434"/>
      <c r="G88" s="229">
        <f>0.933%-0.366%</f>
        <v>0.00567</v>
      </c>
      <c r="H88" s="303">
        <v>3882.7</v>
      </c>
      <c r="I88" s="252">
        <f>4520-1675</f>
        <v>2845</v>
      </c>
      <c r="J88" s="252">
        <v>4295</v>
      </c>
      <c r="K88" s="252">
        <v>4300</v>
      </c>
      <c r="L88" s="252">
        <v>4270</v>
      </c>
      <c r="M88" s="252">
        <v>4230</v>
      </c>
      <c r="N88" s="252">
        <v>4150</v>
      </c>
      <c r="O88" s="252">
        <v>4000</v>
      </c>
      <c r="P88" s="252">
        <v>3810</v>
      </c>
      <c r="Q88" s="252">
        <v>3630</v>
      </c>
      <c r="R88" s="252">
        <v>3455</v>
      </c>
      <c r="S88" s="252">
        <v>3285</v>
      </c>
      <c r="T88" s="252">
        <v>3095</v>
      </c>
      <c r="U88" s="252">
        <v>2920</v>
      </c>
      <c r="V88" s="252">
        <v>2740</v>
      </c>
      <c r="W88" s="252">
        <v>19670</v>
      </c>
      <c r="X88" s="315">
        <f t="shared" si="3"/>
        <v>74577.7</v>
      </c>
    </row>
    <row r="89" spans="1:24" s="99" customFormat="1" ht="12.75">
      <c r="A89" s="453">
        <v>42</v>
      </c>
      <c r="B89" s="326" t="s">
        <v>613</v>
      </c>
      <c r="C89" s="455" t="s">
        <v>711</v>
      </c>
      <c r="D89" s="455">
        <v>671</v>
      </c>
      <c r="E89" s="457">
        <v>1698600</v>
      </c>
      <c r="F89" s="494" t="s">
        <v>712</v>
      </c>
      <c r="G89" s="338" t="s">
        <v>616</v>
      </c>
      <c r="H89" s="341"/>
      <c r="I89" s="339"/>
      <c r="J89" s="339">
        <v>2000</v>
      </c>
      <c r="K89" s="339">
        <v>6000</v>
      </c>
      <c r="L89" s="339">
        <v>10000</v>
      </c>
      <c r="M89" s="339">
        <v>20000</v>
      </c>
      <c r="N89" s="339">
        <v>40000</v>
      </c>
      <c r="O89" s="339">
        <v>60000</v>
      </c>
      <c r="P89" s="339">
        <v>72588</v>
      </c>
      <c r="Q89" s="339">
        <v>72588</v>
      </c>
      <c r="R89" s="339">
        <v>72588</v>
      </c>
      <c r="S89" s="339">
        <v>72588</v>
      </c>
      <c r="T89" s="339">
        <v>72588</v>
      </c>
      <c r="U89" s="339">
        <v>72588</v>
      </c>
      <c r="V89" s="339">
        <v>72588</v>
      </c>
      <c r="W89" s="339">
        <v>1052484</v>
      </c>
      <c r="X89" s="320">
        <f>SUM(H89:W89)</f>
        <v>1698600</v>
      </c>
    </row>
    <row r="90" spans="1:24" s="99" customFormat="1" ht="12.75">
      <c r="A90" s="454"/>
      <c r="B90" s="342" t="s">
        <v>713</v>
      </c>
      <c r="C90" s="456"/>
      <c r="D90" s="456"/>
      <c r="E90" s="458"/>
      <c r="F90" s="495"/>
      <c r="G90" s="346">
        <f>0.915%-0.442%</f>
        <v>0.00473</v>
      </c>
      <c r="H90" s="343">
        <v>3794.29</v>
      </c>
      <c r="I90" s="340">
        <v>7355</v>
      </c>
      <c r="J90" s="340">
        <v>8615</v>
      </c>
      <c r="K90" s="340">
        <v>8620</v>
      </c>
      <c r="L90" s="340">
        <v>8565</v>
      </c>
      <c r="M90" s="340">
        <v>8505</v>
      </c>
      <c r="N90" s="340">
        <v>8385</v>
      </c>
      <c r="O90" s="340">
        <v>8190</v>
      </c>
      <c r="P90" s="340">
        <v>7855</v>
      </c>
      <c r="Q90" s="340">
        <v>7490</v>
      </c>
      <c r="R90" s="340">
        <v>7120</v>
      </c>
      <c r="S90" s="340">
        <v>6770</v>
      </c>
      <c r="T90" s="340">
        <v>6385</v>
      </c>
      <c r="U90" s="340">
        <v>6015</v>
      </c>
      <c r="V90" s="340">
        <v>5650</v>
      </c>
      <c r="W90" s="340">
        <v>40580</v>
      </c>
      <c r="X90" s="325">
        <f t="shared" si="3"/>
        <v>149894.29</v>
      </c>
    </row>
    <row r="91" spans="1:24" s="99" customFormat="1" ht="12.75">
      <c r="A91" s="442">
        <v>43</v>
      </c>
      <c r="B91" s="221" t="s">
        <v>613</v>
      </c>
      <c r="C91" s="425" t="s">
        <v>714</v>
      </c>
      <c r="D91" s="425">
        <v>672</v>
      </c>
      <c r="E91" s="427">
        <f>142175-5157.95</f>
        <v>137017.05</v>
      </c>
      <c r="F91" s="433" t="s">
        <v>715</v>
      </c>
      <c r="G91" s="222" t="s">
        <v>616</v>
      </c>
      <c r="H91" s="302"/>
      <c r="I91" s="251"/>
      <c r="J91" s="251">
        <v>3955.05</v>
      </c>
      <c r="K91" s="251">
        <v>7944</v>
      </c>
      <c r="L91" s="251">
        <v>7944</v>
      </c>
      <c r="M91" s="251">
        <v>7944</v>
      </c>
      <c r="N91" s="251">
        <v>7944</v>
      </c>
      <c r="O91" s="251">
        <v>7944</v>
      </c>
      <c r="P91" s="251">
        <v>7944</v>
      </c>
      <c r="Q91" s="251">
        <v>7944</v>
      </c>
      <c r="R91" s="251">
        <v>7944</v>
      </c>
      <c r="S91" s="251">
        <v>7944</v>
      </c>
      <c r="T91" s="251">
        <v>7944</v>
      </c>
      <c r="U91" s="251">
        <v>7944</v>
      </c>
      <c r="V91" s="251">
        <v>7944</v>
      </c>
      <c r="W91" s="251">
        <v>37734</v>
      </c>
      <c r="X91" s="314">
        <f t="shared" si="3"/>
        <v>137017.05</v>
      </c>
    </row>
    <row r="92" spans="1:24" s="99" customFormat="1" ht="12.75">
      <c r="A92" s="443"/>
      <c r="B92" s="223" t="s">
        <v>716</v>
      </c>
      <c r="C92" s="426"/>
      <c r="D92" s="426"/>
      <c r="E92" s="428"/>
      <c r="F92" s="434"/>
      <c r="G92" s="225">
        <f>0.687%-0.442%</f>
        <v>0.00245</v>
      </c>
      <c r="H92" s="303">
        <v>280.49</v>
      </c>
      <c r="I92" s="252">
        <v>350</v>
      </c>
      <c r="J92" s="252">
        <v>695</v>
      </c>
      <c r="K92" s="252">
        <v>675</v>
      </c>
      <c r="L92" s="252">
        <v>630</v>
      </c>
      <c r="M92" s="252">
        <v>590</v>
      </c>
      <c r="N92" s="252">
        <v>550</v>
      </c>
      <c r="O92" s="252">
        <v>510</v>
      </c>
      <c r="P92" s="252">
        <v>470</v>
      </c>
      <c r="Q92" s="252">
        <v>430</v>
      </c>
      <c r="R92" s="252">
        <v>390</v>
      </c>
      <c r="S92" s="252">
        <v>350</v>
      </c>
      <c r="T92" s="252">
        <v>310</v>
      </c>
      <c r="U92" s="252">
        <v>270</v>
      </c>
      <c r="V92" s="252">
        <v>230</v>
      </c>
      <c r="W92" s="252">
        <v>525</v>
      </c>
      <c r="X92" s="315">
        <f t="shared" si="3"/>
        <v>7255.49</v>
      </c>
    </row>
    <row r="93" spans="1:24" s="99" customFormat="1" ht="12.75">
      <c r="A93" s="453">
        <v>44</v>
      </c>
      <c r="B93" s="326" t="s">
        <v>613</v>
      </c>
      <c r="C93" s="455" t="s">
        <v>717</v>
      </c>
      <c r="D93" s="455">
        <v>673</v>
      </c>
      <c r="E93" s="457">
        <f>625075-48519.44</f>
        <v>576555.56</v>
      </c>
      <c r="F93" s="494" t="s">
        <v>718</v>
      </c>
      <c r="G93" s="338" t="s">
        <v>616</v>
      </c>
      <c r="H93" s="341"/>
      <c r="I93" s="339"/>
      <c r="J93" s="344">
        <v>2000.56</v>
      </c>
      <c r="K93" s="339">
        <v>6000</v>
      </c>
      <c r="L93" s="339">
        <v>10000</v>
      </c>
      <c r="M93" s="339">
        <v>20000</v>
      </c>
      <c r="N93" s="339">
        <v>39892</v>
      </c>
      <c r="O93" s="339">
        <v>39892</v>
      </c>
      <c r="P93" s="339">
        <v>39892</v>
      </c>
      <c r="Q93" s="339">
        <v>39892</v>
      </c>
      <c r="R93" s="339">
        <v>39892</v>
      </c>
      <c r="S93" s="339">
        <v>39892</v>
      </c>
      <c r="T93" s="339">
        <v>39892</v>
      </c>
      <c r="U93" s="339">
        <v>39892</v>
      </c>
      <c r="V93" s="339">
        <v>39892</v>
      </c>
      <c r="W93" s="339">
        <v>179527</v>
      </c>
      <c r="X93" s="320">
        <f t="shared" si="3"/>
        <v>576555.56</v>
      </c>
    </row>
    <row r="94" spans="1:24" s="99" customFormat="1" ht="12.75">
      <c r="A94" s="454"/>
      <c r="B94" s="342" t="s">
        <v>719</v>
      </c>
      <c r="C94" s="456"/>
      <c r="D94" s="456"/>
      <c r="E94" s="458"/>
      <c r="F94" s="495"/>
      <c r="G94" s="322">
        <f>0.687%-0.442%</f>
        <v>0.00245</v>
      </c>
      <c r="H94" s="343">
        <v>1203.37</v>
      </c>
      <c r="I94" s="340">
        <v>1465</v>
      </c>
      <c r="J94" s="340">
        <v>2925</v>
      </c>
      <c r="K94" s="340">
        <v>2920</v>
      </c>
      <c r="L94" s="340">
        <v>2875</v>
      </c>
      <c r="M94" s="340">
        <v>2815</v>
      </c>
      <c r="N94" s="340">
        <v>2695</v>
      </c>
      <c r="O94" s="340">
        <v>2505</v>
      </c>
      <c r="P94" s="340">
        <v>2295</v>
      </c>
      <c r="Q94" s="340">
        <v>2095</v>
      </c>
      <c r="R94" s="340">
        <v>1895</v>
      </c>
      <c r="S94" s="340">
        <v>1695</v>
      </c>
      <c r="T94" s="340">
        <v>1490</v>
      </c>
      <c r="U94" s="340">
        <v>1285</v>
      </c>
      <c r="V94" s="340">
        <v>1085</v>
      </c>
      <c r="W94" s="340">
        <v>2380</v>
      </c>
      <c r="X94" s="325">
        <f t="shared" si="3"/>
        <v>33623.369999999995</v>
      </c>
    </row>
    <row r="95" spans="1:24" s="99" customFormat="1" ht="12.75">
      <c r="A95" s="442">
        <v>45</v>
      </c>
      <c r="B95" s="221" t="s">
        <v>613</v>
      </c>
      <c r="C95" s="425" t="s">
        <v>248</v>
      </c>
      <c r="D95" s="425">
        <v>674</v>
      </c>
      <c r="E95" s="427">
        <v>231777</v>
      </c>
      <c r="F95" s="433" t="s">
        <v>720</v>
      </c>
      <c r="G95" s="222" t="s">
        <v>616</v>
      </c>
      <c r="H95" s="302"/>
      <c r="I95" s="251">
        <v>5985</v>
      </c>
      <c r="J95" s="251">
        <v>8064</v>
      </c>
      <c r="K95" s="251">
        <v>8064</v>
      </c>
      <c r="L95" s="251">
        <v>8064</v>
      </c>
      <c r="M95" s="251">
        <v>8064</v>
      </c>
      <c r="N95" s="251">
        <v>8064</v>
      </c>
      <c r="O95" s="251">
        <v>8064</v>
      </c>
      <c r="P95" s="251">
        <v>8064</v>
      </c>
      <c r="Q95" s="251">
        <v>8064</v>
      </c>
      <c r="R95" s="251">
        <v>8064</v>
      </c>
      <c r="S95" s="251">
        <v>8064</v>
      </c>
      <c r="T95" s="251">
        <v>8064</v>
      </c>
      <c r="U95" s="251">
        <v>8064</v>
      </c>
      <c r="V95" s="251">
        <v>8064</v>
      </c>
      <c r="W95" s="251">
        <v>120960</v>
      </c>
      <c r="X95" s="314">
        <f t="shared" si="3"/>
        <v>231777</v>
      </c>
    </row>
    <row r="96" spans="1:24" s="99" customFormat="1" ht="12.75">
      <c r="A96" s="443"/>
      <c r="B96" s="223" t="s">
        <v>721</v>
      </c>
      <c r="C96" s="426"/>
      <c r="D96" s="426"/>
      <c r="E96" s="428"/>
      <c r="F96" s="434"/>
      <c r="G96" s="229">
        <v>0.00357</v>
      </c>
      <c r="H96" s="303">
        <v>684.23</v>
      </c>
      <c r="I96" s="252">
        <v>810</v>
      </c>
      <c r="J96" s="252">
        <v>1140</v>
      </c>
      <c r="K96" s="252">
        <v>1105</v>
      </c>
      <c r="L96" s="252">
        <v>1060</v>
      </c>
      <c r="M96" s="252">
        <v>1020</v>
      </c>
      <c r="N96" s="252">
        <v>975</v>
      </c>
      <c r="O96" s="252">
        <v>940</v>
      </c>
      <c r="P96" s="252">
        <v>895</v>
      </c>
      <c r="Q96" s="252">
        <v>855</v>
      </c>
      <c r="R96" s="252">
        <v>815</v>
      </c>
      <c r="S96" s="252">
        <v>775</v>
      </c>
      <c r="T96" s="252">
        <v>730</v>
      </c>
      <c r="U96" s="252">
        <v>690</v>
      </c>
      <c r="V96" s="252">
        <v>650</v>
      </c>
      <c r="W96" s="252">
        <v>4820</v>
      </c>
      <c r="X96" s="315">
        <f t="shared" si="3"/>
        <v>17964.23</v>
      </c>
    </row>
    <row r="97" spans="1:24" s="99" customFormat="1" ht="12.75">
      <c r="A97" s="453">
        <v>46</v>
      </c>
      <c r="B97" s="326" t="s">
        <v>613</v>
      </c>
      <c r="C97" s="455" t="s">
        <v>788</v>
      </c>
      <c r="D97" s="455">
        <v>675</v>
      </c>
      <c r="E97" s="457">
        <f>222912</f>
        <v>222912</v>
      </c>
      <c r="F97" s="494" t="s">
        <v>722</v>
      </c>
      <c r="G97" s="338" t="s">
        <v>616</v>
      </c>
      <c r="H97" s="341"/>
      <c r="I97" s="339"/>
      <c r="J97" s="339">
        <v>3204</v>
      </c>
      <c r="K97" s="339">
        <v>12924</v>
      </c>
      <c r="L97" s="339">
        <v>12924</v>
      </c>
      <c r="M97" s="339">
        <v>12924</v>
      </c>
      <c r="N97" s="339">
        <v>12924</v>
      </c>
      <c r="O97" s="339">
        <v>12924</v>
      </c>
      <c r="P97" s="339">
        <v>12924</v>
      </c>
      <c r="Q97" s="339">
        <v>12924</v>
      </c>
      <c r="R97" s="339">
        <v>12924</v>
      </c>
      <c r="S97" s="339">
        <v>12924</v>
      </c>
      <c r="T97" s="339">
        <v>12924</v>
      </c>
      <c r="U97" s="339">
        <v>12924</v>
      </c>
      <c r="V97" s="339">
        <v>12924</v>
      </c>
      <c r="W97" s="339">
        <v>64620</v>
      </c>
      <c r="X97" s="320">
        <f t="shared" si="3"/>
        <v>222912</v>
      </c>
    </row>
    <row r="98" spans="1:24" s="99" customFormat="1" ht="12.75">
      <c r="A98" s="454"/>
      <c r="B98" s="342" t="s">
        <v>723</v>
      </c>
      <c r="C98" s="456"/>
      <c r="D98" s="456"/>
      <c r="E98" s="458"/>
      <c r="F98" s="495"/>
      <c r="G98" s="346">
        <v>0.0025</v>
      </c>
      <c r="H98" s="343">
        <v>313.11</v>
      </c>
      <c r="I98" s="340">
        <v>570</v>
      </c>
      <c r="J98" s="340">
        <v>1135</v>
      </c>
      <c r="K98" s="340">
        <v>1110</v>
      </c>
      <c r="L98" s="340">
        <v>1040</v>
      </c>
      <c r="M98" s="340">
        <v>975</v>
      </c>
      <c r="N98" s="340">
        <v>910</v>
      </c>
      <c r="O98" s="340">
        <v>845</v>
      </c>
      <c r="P98" s="340">
        <v>780</v>
      </c>
      <c r="Q98" s="340">
        <v>715</v>
      </c>
      <c r="R98" s="340">
        <v>650</v>
      </c>
      <c r="S98" s="340">
        <v>585</v>
      </c>
      <c r="T98" s="340">
        <v>515</v>
      </c>
      <c r="U98" s="340">
        <v>450</v>
      </c>
      <c r="V98" s="340">
        <v>385</v>
      </c>
      <c r="W98" s="340">
        <v>940</v>
      </c>
      <c r="X98" s="325">
        <f t="shared" si="3"/>
        <v>11918.11</v>
      </c>
    </row>
    <row r="99" spans="1:24" s="99" customFormat="1" ht="12.75" customHeight="1">
      <c r="A99" s="442" t="s">
        <v>887</v>
      </c>
      <c r="B99" s="221" t="s">
        <v>613</v>
      </c>
      <c r="C99" s="503" t="s">
        <v>391</v>
      </c>
      <c r="D99" s="425">
        <v>676</v>
      </c>
      <c r="E99" s="427">
        <f>4607144+486351</f>
        <v>5093495</v>
      </c>
      <c r="F99" s="433" t="s">
        <v>796</v>
      </c>
      <c r="G99" s="222" t="s">
        <v>616</v>
      </c>
      <c r="H99" s="302"/>
      <c r="I99" s="251"/>
      <c r="J99" s="251"/>
      <c r="K99" s="251">
        <v>6000</v>
      </c>
      <c r="L99" s="251">
        <f>10000+5000</f>
        <v>15000</v>
      </c>
      <c r="M99" s="251">
        <f>20000+10000</f>
        <v>30000</v>
      </c>
      <c r="N99" s="251">
        <f>40000+20000</f>
        <v>60000</v>
      </c>
      <c r="O99" s="251">
        <f>100000+50000</f>
        <v>150000</v>
      </c>
      <c r="P99" s="251">
        <f>199152+18040</f>
        <v>217192</v>
      </c>
      <c r="Q99" s="251">
        <f aca="true" t="shared" si="5" ref="Q99:V99">199152+18040</f>
        <v>217192</v>
      </c>
      <c r="R99" s="251">
        <f t="shared" si="5"/>
        <v>217192</v>
      </c>
      <c r="S99" s="251">
        <f t="shared" si="5"/>
        <v>217192</v>
      </c>
      <c r="T99" s="251">
        <f t="shared" si="5"/>
        <v>217192</v>
      </c>
      <c r="U99" s="251">
        <f t="shared" si="5"/>
        <v>217192</v>
      </c>
      <c r="V99" s="251">
        <f t="shared" si="5"/>
        <v>217192</v>
      </c>
      <c r="W99" s="251">
        <f>3037080+275071</f>
        <v>3312151</v>
      </c>
      <c r="X99" s="314">
        <f t="shared" si="3"/>
        <v>5093495</v>
      </c>
    </row>
    <row r="100" spans="1:24" s="99" customFormat="1" ht="12.75">
      <c r="A100" s="443"/>
      <c r="B100" s="223" t="s">
        <v>795</v>
      </c>
      <c r="C100" s="426"/>
      <c r="D100" s="426"/>
      <c r="E100" s="428"/>
      <c r="F100" s="434"/>
      <c r="G100" s="229">
        <v>0.0025</v>
      </c>
      <c r="H100" s="303">
        <v>553.86</v>
      </c>
      <c r="I100" s="252">
        <f>16150+1425</f>
        <v>17575</v>
      </c>
      <c r="J100" s="252">
        <f>23360+2465</f>
        <v>25825</v>
      </c>
      <c r="K100" s="252">
        <f>23420+2470</f>
        <v>25890</v>
      </c>
      <c r="L100" s="252">
        <f>23320+2465</f>
        <v>25785</v>
      </c>
      <c r="M100" s="252">
        <f>23260+2430</f>
        <v>25690</v>
      </c>
      <c r="N100" s="252">
        <f>23140+2370</f>
        <v>25510</v>
      </c>
      <c r="O100" s="252">
        <f>22940+2295</f>
        <v>25235</v>
      </c>
      <c r="P100" s="252">
        <f>22280+2045</f>
        <v>24325</v>
      </c>
      <c r="Q100" s="252">
        <f>21300+1925</f>
        <v>23225</v>
      </c>
      <c r="R100" s="252">
        <f>20290+1840</f>
        <v>22130</v>
      </c>
      <c r="S100" s="252">
        <f>19335+1750</f>
        <v>21085</v>
      </c>
      <c r="T100" s="252">
        <f>18270+1655</f>
        <v>19925</v>
      </c>
      <c r="U100" s="252">
        <f>17260+1565</f>
        <v>18825</v>
      </c>
      <c r="V100" s="252">
        <f>16255+1470</f>
        <v>17725</v>
      </c>
      <c r="W100" s="252">
        <f>122885+11125</f>
        <v>134010</v>
      </c>
      <c r="X100" s="315">
        <f t="shared" si="3"/>
        <v>453313.86</v>
      </c>
    </row>
    <row r="101" spans="1:24" s="99" customFormat="1" ht="12.75" customHeight="1">
      <c r="A101" s="453">
        <v>48</v>
      </c>
      <c r="B101" s="347" t="s">
        <v>613</v>
      </c>
      <c r="C101" s="455" t="s">
        <v>788</v>
      </c>
      <c r="D101" s="455">
        <v>677</v>
      </c>
      <c r="E101" s="457">
        <f>40211-1880.77</f>
        <v>38330.23</v>
      </c>
      <c r="F101" s="494" t="s">
        <v>827</v>
      </c>
      <c r="G101" s="366" t="s">
        <v>616</v>
      </c>
      <c r="H101" s="367">
        <f>572.58+22367.15</f>
        <v>22939.730000000003</v>
      </c>
      <c r="I101" s="251"/>
      <c r="J101" s="261">
        <f>521-3.35</f>
        <v>517.65</v>
      </c>
      <c r="K101" s="251">
        <f aca="true" t="shared" si="6" ref="K101:P101">2268-140</f>
        <v>2128</v>
      </c>
      <c r="L101" s="251">
        <f t="shared" si="6"/>
        <v>2128</v>
      </c>
      <c r="M101" s="251">
        <f t="shared" si="6"/>
        <v>2128</v>
      </c>
      <c r="N101" s="251">
        <f t="shared" si="6"/>
        <v>2128</v>
      </c>
      <c r="O101" s="251">
        <f t="shared" si="6"/>
        <v>2128</v>
      </c>
      <c r="P101" s="251">
        <f t="shared" si="6"/>
        <v>2128</v>
      </c>
      <c r="Q101" s="261">
        <f>2268-140-23.15</f>
        <v>2104.85</v>
      </c>
      <c r="R101" s="251"/>
      <c r="S101" s="251"/>
      <c r="T101" s="251"/>
      <c r="U101" s="251"/>
      <c r="V101" s="251"/>
      <c r="W101" s="251"/>
      <c r="X101" s="320">
        <f t="shared" si="3"/>
        <v>38330.23</v>
      </c>
    </row>
    <row r="102" spans="1:24" s="99" customFormat="1" ht="12.75">
      <c r="A102" s="454"/>
      <c r="B102" s="348" t="s">
        <v>825</v>
      </c>
      <c r="C102" s="456"/>
      <c r="D102" s="456"/>
      <c r="E102" s="458"/>
      <c r="F102" s="495"/>
      <c r="G102" s="354">
        <v>0.0025</v>
      </c>
      <c r="H102" s="363">
        <v>20.88</v>
      </c>
      <c r="I102" s="252">
        <f>155-10-70</f>
        <v>75</v>
      </c>
      <c r="J102" s="252">
        <f>205-10-115</f>
        <v>80</v>
      </c>
      <c r="K102" s="252">
        <f>200-10-115</f>
        <v>75</v>
      </c>
      <c r="L102" s="252">
        <f>190-10-115</f>
        <v>65</v>
      </c>
      <c r="M102" s="252">
        <f>175-5-115</f>
        <v>55</v>
      </c>
      <c r="N102" s="252">
        <f>165-10-110</f>
        <v>45</v>
      </c>
      <c r="O102" s="252">
        <f>155-10-110</f>
        <v>35</v>
      </c>
      <c r="P102" s="252">
        <f>140-5-115</f>
        <v>20</v>
      </c>
      <c r="Q102" s="252">
        <f>130-5-115</f>
        <v>10</v>
      </c>
      <c r="R102" s="252"/>
      <c r="S102" s="368"/>
      <c r="T102" s="368"/>
      <c r="U102" s="369"/>
      <c r="V102" s="369"/>
      <c r="W102" s="369"/>
      <c r="X102" s="325">
        <f t="shared" si="3"/>
        <v>480.88</v>
      </c>
    </row>
    <row r="103" spans="1:24" s="99" customFormat="1" ht="12.75">
      <c r="A103" s="442">
        <v>49</v>
      </c>
      <c r="B103" s="231" t="s">
        <v>613</v>
      </c>
      <c r="C103" s="425" t="s">
        <v>250</v>
      </c>
      <c r="D103" s="425">
        <v>678</v>
      </c>
      <c r="E103" s="427">
        <f>1073828+53126</f>
        <v>1126954</v>
      </c>
      <c r="F103" s="433" t="s">
        <v>828</v>
      </c>
      <c r="G103" s="222" t="s">
        <v>616</v>
      </c>
      <c r="H103" s="311">
        <f>59880.57</f>
        <v>59880.57</v>
      </c>
      <c r="I103" s="251"/>
      <c r="J103" s="251"/>
      <c r="K103" s="261">
        <v>4993.43</v>
      </c>
      <c r="L103" s="251">
        <v>10000</v>
      </c>
      <c r="M103" s="251">
        <v>20000</v>
      </c>
      <c r="N103" s="251">
        <v>42560</v>
      </c>
      <c r="O103" s="251">
        <v>42560</v>
      </c>
      <c r="P103" s="251">
        <v>42560</v>
      </c>
      <c r="Q103" s="251">
        <v>42560</v>
      </c>
      <c r="R103" s="251">
        <v>42560</v>
      </c>
      <c r="S103" s="251">
        <v>42560</v>
      </c>
      <c r="T103" s="251">
        <v>42560</v>
      </c>
      <c r="U103" s="251">
        <v>42560</v>
      </c>
      <c r="V103" s="251">
        <v>42560</v>
      </c>
      <c r="W103" s="251">
        <v>649040</v>
      </c>
      <c r="X103" s="314">
        <f>SUM(H103:W103)</f>
        <v>1126954</v>
      </c>
    </row>
    <row r="104" spans="1:24" s="99" customFormat="1" ht="12.75">
      <c r="A104" s="443"/>
      <c r="B104" s="244" t="s">
        <v>826</v>
      </c>
      <c r="C104" s="426"/>
      <c r="D104" s="426"/>
      <c r="E104" s="428"/>
      <c r="F104" s="434"/>
      <c r="G104" s="229">
        <v>0.0025</v>
      </c>
      <c r="H104" s="303">
        <v>257.68</v>
      </c>
      <c r="I104" s="252">
        <v>4065</v>
      </c>
      <c r="J104" s="252">
        <v>5410</v>
      </c>
      <c r="K104" s="252">
        <v>5425</v>
      </c>
      <c r="L104" s="252">
        <v>5380</v>
      </c>
      <c r="M104" s="252">
        <v>5320</v>
      </c>
      <c r="N104" s="252">
        <v>5195</v>
      </c>
      <c r="O104" s="252">
        <v>5000</v>
      </c>
      <c r="P104" s="252">
        <v>4770</v>
      </c>
      <c r="Q104" s="252">
        <v>4555</v>
      </c>
      <c r="R104" s="252">
        <v>4340</v>
      </c>
      <c r="S104" s="252">
        <v>4135</v>
      </c>
      <c r="T104" s="252">
        <v>3905</v>
      </c>
      <c r="U104" s="252">
        <v>3690</v>
      </c>
      <c r="V104" s="252">
        <v>3475</v>
      </c>
      <c r="W104" s="252">
        <v>26265</v>
      </c>
      <c r="X104" s="315">
        <f>SUM(H104:W104)</f>
        <v>91187.68</v>
      </c>
    </row>
    <row r="105" spans="1:24" s="99" customFormat="1" ht="12.75">
      <c r="A105" s="453">
        <v>50</v>
      </c>
      <c r="B105" s="326" t="s">
        <v>613</v>
      </c>
      <c r="C105" s="455" t="s">
        <v>846</v>
      </c>
      <c r="D105" s="455">
        <v>679</v>
      </c>
      <c r="E105" s="457">
        <v>1144390</v>
      </c>
      <c r="F105" s="494" t="s">
        <v>836</v>
      </c>
      <c r="G105" s="349" t="s">
        <v>616</v>
      </c>
      <c r="H105" s="341"/>
      <c r="I105" s="339"/>
      <c r="J105" s="339"/>
      <c r="K105" s="344">
        <v>5000</v>
      </c>
      <c r="L105" s="339">
        <v>10000</v>
      </c>
      <c r="M105" s="339">
        <v>20000</v>
      </c>
      <c r="N105" s="339">
        <v>45280</v>
      </c>
      <c r="O105" s="339">
        <v>45280</v>
      </c>
      <c r="P105" s="339">
        <v>45280</v>
      </c>
      <c r="Q105" s="339">
        <v>45280</v>
      </c>
      <c r="R105" s="339">
        <v>45280</v>
      </c>
      <c r="S105" s="339">
        <v>45280</v>
      </c>
      <c r="T105" s="339">
        <v>45280</v>
      </c>
      <c r="U105" s="339">
        <v>45280</v>
      </c>
      <c r="V105" s="339">
        <v>45280</v>
      </c>
      <c r="W105" s="339">
        <v>701870</v>
      </c>
      <c r="X105" s="350">
        <f>SUM(H105:W105)</f>
        <v>1144390</v>
      </c>
    </row>
    <row r="106" spans="1:24" s="99" customFormat="1" ht="12.75">
      <c r="A106" s="454"/>
      <c r="B106" s="342" t="s">
        <v>837</v>
      </c>
      <c r="C106" s="456"/>
      <c r="D106" s="456"/>
      <c r="E106" s="458"/>
      <c r="F106" s="495"/>
      <c r="G106" s="346">
        <v>0.0025</v>
      </c>
      <c r="H106" s="343">
        <v>86.29</v>
      </c>
      <c r="I106" s="340">
        <v>4355</v>
      </c>
      <c r="J106" s="340">
        <v>5805</v>
      </c>
      <c r="K106" s="340">
        <v>5820</v>
      </c>
      <c r="L106" s="340">
        <v>5770</v>
      </c>
      <c r="M106" s="340">
        <v>5710</v>
      </c>
      <c r="N106" s="340">
        <v>5585</v>
      </c>
      <c r="O106" s="340">
        <v>5375</v>
      </c>
      <c r="P106" s="340">
        <v>5130</v>
      </c>
      <c r="Q106" s="340">
        <v>4900</v>
      </c>
      <c r="R106" s="340">
        <v>4675</v>
      </c>
      <c r="S106" s="340">
        <v>4455</v>
      </c>
      <c r="T106" s="340">
        <v>4215</v>
      </c>
      <c r="U106" s="340">
        <v>3985</v>
      </c>
      <c r="V106" s="340">
        <v>3755</v>
      </c>
      <c r="W106" s="340">
        <v>28845</v>
      </c>
      <c r="X106" s="351">
        <f>SUM(H106:W106)</f>
        <v>98466.29000000001</v>
      </c>
    </row>
    <row r="107" spans="1:24" s="99" customFormat="1" ht="20.25" customHeight="1">
      <c r="A107" s="442">
        <v>51</v>
      </c>
      <c r="B107" s="221" t="s">
        <v>613</v>
      </c>
      <c r="C107" s="425" t="s">
        <v>258</v>
      </c>
      <c r="D107" s="425">
        <v>680</v>
      </c>
      <c r="E107" s="427">
        <v>147003</v>
      </c>
      <c r="F107" s="433" t="s">
        <v>838</v>
      </c>
      <c r="G107" s="277" t="s">
        <v>616</v>
      </c>
      <c r="H107" s="302"/>
      <c r="I107" s="261">
        <v>7428</v>
      </c>
      <c r="J107" s="251">
        <v>7444</v>
      </c>
      <c r="K107" s="251">
        <v>7444</v>
      </c>
      <c r="L107" s="251">
        <v>7444</v>
      </c>
      <c r="M107" s="251">
        <v>7444</v>
      </c>
      <c r="N107" s="251">
        <v>7444</v>
      </c>
      <c r="O107" s="251">
        <v>7444</v>
      </c>
      <c r="P107" s="251">
        <v>7444</v>
      </c>
      <c r="Q107" s="251">
        <v>7444</v>
      </c>
      <c r="R107" s="251">
        <v>7444</v>
      </c>
      <c r="S107" s="251">
        <v>7444</v>
      </c>
      <c r="T107" s="251">
        <v>7444</v>
      </c>
      <c r="U107" s="251">
        <v>7444</v>
      </c>
      <c r="V107" s="251">
        <v>7444</v>
      </c>
      <c r="W107" s="251">
        <v>42803</v>
      </c>
      <c r="X107" s="316">
        <f aca="true" t="shared" si="7" ref="X107:X125">SUM(H107:W107)</f>
        <v>147003</v>
      </c>
    </row>
    <row r="108" spans="1:24" s="99" customFormat="1" ht="18.75" customHeight="1">
      <c r="A108" s="443"/>
      <c r="B108" s="223" t="s">
        <v>839</v>
      </c>
      <c r="C108" s="426"/>
      <c r="D108" s="426"/>
      <c r="E108" s="428"/>
      <c r="F108" s="434"/>
      <c r="G108" s="229">
        <v>0.0025</v>
      </c>
      <c r="H108" s="303">
        <v>0</v>
      </c>
      <c r="I108" s="252">
        <v>555</v>
      </c>
      <c r="J108" s="252">
        <v>705</v>
      </c>
      <c r="K108" s="252">
        <v>670</v>
      </c>
      <c r="L108" s="252">
        <v>630</v>
      </c>
      <c r="M108" s="252">
        <v>590</v>
      </c>
      <c r="N108" s="252">
        <v>555</v>
      </c>
      <c r="O108" s="252">
        <v>515</v>
      </c>
      <c r="P108" s="252">
        <v>480</v>
      </c>
      <c r="Q108" s="252">
        <v>440</v>
      </c>
      <c r="R108" s="252">
        <v>400</v>
      </c>
      <c r="S108" s="252">
        <v>365</v>
      </c>
      <c r="T108" s="252">
        <v>325</v>
      </c>
      <c r="U108" s="252">
        <v>290</v>
      </c>
      <c r="V108" s="252">
        <v>250</v>
      </c>
      <c r="W108" s="252">
        <v>705</v>
      </c>
      <c r="X108" s="317">
        <f t="shared" si="7"/>
        <v>7475</v>
      </c>
    </row>
    <row r="109" spans="1:24" s="99" customFormat="1" ht="12" customHeight="1">
      <c r="A109" s="499">
        <v>52</v>
      </c>
      <c r="B109" s="326" t="s">
        <v>613</v>
      </c>
      <c r="C109" s="500" t="s">
        <v>840</v>
      </c>
      <c r="D109" s="500">
        <v>681</v>
      </c>
      <c r="E109" s="501">
        <v>106070</v>
      </c>
      <c r="F109" s="502" t="s">
        <v>880</v>
      </c>
      <c r="G109" s="352" t="s">
        <v>616</v>
      </c>
      <c r="H109" s="353"/>
      <c r="I109" s="339"/>
      <c r="J109" s="339"/>
      <c r="K109" s="339">
        <f>3024</f>
        <v>3024</v>
      </c>
      <c r="L109" s="339">
        <v>6152</v>
      </c>
      <c r="M109" s="339">
        <v>6152</v>
      </c>
      <c r="N109" s="339">
        <v>6152</v>
      </c>
      <c r="O109" s="339">
        <v>6152</v>
      </c>
      <c r="P109" s="339">
        <v>6152</v>
      </c>
      <c r="Q109" s="339">
        <v>6152</v>
      </c>
      <c r="R109" s="339">
        <v>6152</v>
      </c>
      <c r="S109" s="339">
        <v>6152</v>
      </c>
      <c r="T109" s="339">
        <v>6152</v>
      </c>
      <c r="U109" s="339">
        <v>6152</v>
      </c>
      <c r="V109" s="339">
        <v>6152</v>
      </c>
      <c r="W109" s="339">
        <v>35374</v>
      </c>
      <c r="X109" s="350">
        <f t="shared" si="7"/>
        <v>106070</v>
      </c>
    </row>
    <row r="110" spans="1:24" s="99" customFormat="1" ht="12.75">
      <c r="A110" s="499"/>
      <c r="B110" s="342" t="s">
        <v>879</v>
      </c>
      <c r="C110" s="500"/>
      <c r="D110" s="500"/>
      <c r="E110" s="501"/>
      <c r="F110" s="502"/>
      <c r="G110" s="354">
        <v>0.0025</v>
      </c>
      <c r="H110" s="355">
        <v>8.77</v>
      </c>
      <c r="I110" s="340">
        <v>405</v>
      </c>
      <c r="J110" s="340">
        <v>540</v>
      </c>
      <c r="K110" s="340">
        <v>540</v>
      </c>
      <c r="L110" s="340">
        <v>520</v>
      </c>
      <c r="M110" s="340">
        <v>490</v>
      </c>
      <c r="N110" s="340">
        <v>460</v>
      </c>
      <c r="O110" s="340">
        <v>430</v>
      </c>
      <c r="P110" s="340">
        <v>395</v>
      </c>
      <c r="Q110" s="340">
        <v>365</v>
      </c>
      <c r="R110" s="340">
        <v>335</v>
      </c>
      <c r="S110" s="340">
        <v>305</v>
      </c>
      <c r="T110" s="340">
        <v>270</v>
      </c>
      <c r="U110" s="340">
        <v>240</v>
      </c>
      <c r="V110" s="340">
        <v>210</v>
      </c>
      <c r="W110" s="340">
        <v>580</v>
      </c>
      <c r="X110" s="351">
        <f t="shared" si="7"/>
        <v>6093.77</v>
      </c>
    </row>
    <row r="111" spans="1:24" s="99" customFormat="1" ht="17.25" customHeight="1">
      <c r="A111" s="442">
        <v>53</v>
      </c>
      <c r="B111" s="221" t="s">
        <v>613</v>
      </c>
      <c r="C111" s="425" t="s">
        <v>842</v>
      </c>
      <c r="D111" s="425">
        <v>682</v>
      </c>
      <c r="E111" s="427">
        <v>603918</v>
      </c>
      <c r="F111" s="433" t="s">
        <v>880</v>
      </c>
      <c r="G111" s="295" t="s">
        <v>616</v>
      </c>
      <c r="H111" s="312"/>
      <c r="I111" s="251"/>
      <c r="J111" s="251"/>
      <c r="K111" s="251">
        <v>17467</v>
      </c>
      <c r="L111" s="251">
        <v>35012</v>
      </c>
      <c r="M111" s="251">
        <v>35012</v>
      </c>
      <c r="N111" s="251">
        <v>35012</v>
      </c>
      <c r="O111" s="251">
        <v>35012</v>
      </c>
      <c r="P111" s="251">
        <v>35012</v>
      </c>
      <c r="Q111" s="251">
        <v>35012</v>
      </c>
      <c r="R111" s="251">
        <v>35012</v>
      </c>
      <c r="S111" s="251">
        <v>35012</v>
      </c>
      <c r="T111" s="251">
        <v>35012</v>
      </c>
      <c r="U111" s="251">
        <v>35012</v>
      </c>
      <c r="V111" s="251">
        <v>35012</v>
      </c>
      <c r="W111" s="251">
        <v>201319</v>
      </c>
      <c r="X111" s="316">
        <f>SUM(H111:W111)</f>
        <v>603918</v>
      </c>
    </row>
    <row r="112" spans="1:24" s="99" customFormat="1" ht="17.25" customHeight="1">
      <c r="A112" s="443"/>
      <c r="B112" s="223" t="s">
        <v>881</v>
      </c>
      <c r="C112" s="426"/>
      <c r="D112" s="426"/>
      <c r="E112" s="428"/>
      <c r="F112" s="434"/>
      <c r="G112" s="296">
        <v>0.0085</v>
      </c>
      <c r="H112" s="313">
        <v>0</v>
      </c>
      <c r="I112" s="252">
        <v>5285</v>
      </c>
      <c r="J112" s="252">
        <v>5515</v>
      </c>
      <c r="K112" s="252">
        <v>5525</v>
      </c>
      <c r="L112" s="252">
        <v>5305</v>
      </c>
      <c r="M112" s="252">
        <v>4985</v>
      </c>
      <c r="N112" s="252">
        <v>4665</v>
      </c>
      <c r="O112" s="252">
        <v>4360</v>
      </c>
      <c r="P112" s="252">
        <v>4025</v>
      </c>
      <c r="Q112" s="252">
        <v>3705</v>
      </c>
      <c r="R112" s="252">
        <v>3390</v>
      </c>
      <c r="S112" s="252">
        <v>3075</v>
      </c>
      <c r="T112" s="252">
        <v>2750</v>
      </c>
      <c r="U112" s="252">
        <v>2430</v>
      </c>
      <c r="V112" s="252">
        <v>2110</v>
      </c>
      <c r="W112" s="252">
        <v>5945</v>
      </c>
      <c r="X112" s="317">
        <f t="shared" si="7"/>
        <v>63070</v>
      </c>
    </row>
    <row r="113" spans="1:24" s="99" customFormat="1" ht="15.75" customHeight="1">
      <c r="A113" s="453">
        <v>54</v>
      </c>
      <c r="B113" s="326" t="s">
        <v>613</v>
      </c>
      <c r="C113" s="455" t="s">
        <v>844</v>
      </c>
      <c r="D113" s="455">
        <v>683</v>
      </c>
      <c r="E113" s="457">
        <v>431815</v>
      </c>
      <c r="F113" s="494" t="s">
        <v>880</v>
      </c>
      <c r="G113" s="352" t="s">
        <v>616</v>
      </c>
      <c r="H113" s="353"/>
      <c r="I113" s="339"/>
      <c r="J113" s="339"/>
      <c r="K113" s="339">
        <v>12462</v>
      </c>
      <c r="L113" s="339">
        <v>25036</v>
      </c>
      <c r="M113" s="339">
        <v>25036</v>
      </c>
      <c r="N113" s="339">
        <v>25036</v>
      </c>
      <c r="O113" s="339">
        <v>25036</v>
      </c>
      <c r="P113" s="339">
        <v>25036</v>
      </c>
      <c r="Q113" s="339">
        <v>25036</v>
      </c>
      <c r="R113" s="339">
        <v>25036</v>
      </c>
      <c r="S113" s="339">
        <v>25036</v>
      </c>
      <c r="T113" s="339">
        <v>25036</v>
      </c>
      <c r="U113" s="339">
        <v>25036</v>
      </c>
      <c r="V113" s="339">
        <v>25036</v>
      </c>
      <c r="W113" s="339">
        <v>143957</v>
      </c>
      <c r="X113" s="350">
        <f t="shared" si="7"/>
        <v>431815</v>
      </c>
    </row>
    <row r="114" spans="1:24" s="99" customFormat="1" ht="19.5" customHeight="1">
      <c r="A114" s="454"/>
      <c r="B114" s="342" t="s">
        <v>882</v>
      </c>
      <c r="C114" s="456"/>
      <c r="D114" s="456"/>
      <c r="E114" s="458"/>
      <c r="F114" s="495"/>
      <c r="G114" s="354">
        <v>0.0025</v>
      </c>
      <c r="H114" s="355">
        <v>0</v>
      </c>
      <c r="I114" s="340">
        <v>1375</v>
      </c>
      <c r="J114" s="340">
        <v>2190</v>
      </c>
      <c r="K114" s="340">
        <v>2195</v>
      </c>
      <c r="L114" s="340">
        <v>2110</v>
      </c>
      <c r="M114" s="340">
        <v>1980</v>
      </c>
      <c r="N114" s="340">
        <v>1855</v>
      </c>
      <c r="O114" s="340">
        <v>1735</v>
      </c>
      <c r="P114" s="340">
        <v>1600</v>
      </c>
      <c r="Q114" s="340">
        <v>1475</v>
      </c>
      <c r="R114" s="340">
        <v>1345</v>
      </c>
      <c r="S114" s="340">
        <v>1225</v>
      </c>
      <c r="T114" s="340">
        <v>1095</v>
      </c>
      <c r="U114" s="340">
        <v>965</v>
      </c>
      <c r="V114" s="340">
        <v>840</v>
      </c>
      <c r="W114" s="340">
        <v>2365</v>
      </c>
      <c r="X114" s="351">
        <f t="shared" si="7"/>
        <v>24350</v>
      </c>
    </row>
    <row r="115" spans="1:24" s="99" customFormat="1" ht="17.25" customHeight="1">
      <c r="A115" s="442">
        <v>55</v>
      </c>
      <c r="B115" s="221" t="s">
        <v>613</v>
      </c>
      <c r="C115" s="425" t="s">
        <v>843</v>
      </c>
      <c r="D115" s="425">
        <v>684</v>
      </c>
      <c r="E115" s="427">
        <v>3381381</v>
      </c>
      <c r="F115" s="433" t="s">
        <v>884</v>
      </c>
      <c r="G115" s="295" t="s">
        <v>616</v>
      </c>
      <c r="H115" s="312"/>
      <c r="I115" s="251"/>
      <c r="J115" s="251"/>
      <c r="K115" s="261">
        <v>25013</v>
      </c>
      <c r="L115" s="251">
        <v>60000</v>
      </c>
      <c r="M115" s="251">
        <v>100000</v>
      </c>
      <c r="N115" s="251">
        <v>130464</v>
      </c>
      <c r="O115" s="251">
        <v>130464</v>
      </c>
      <c r="P115" s="251">
        <v>130464</v>
      </c>
      <c r="Q115" s="251">
        <v>130464</v>
      </c>
      <c r="R115" s="251">
        <v>130464</v>
      </c>
      <c r="S115" s="251">
        <v>130464</v>
      </c>
      <c r="T115" s="251">
        <v>130464</v>
      </c>
      <c r="U115" s="251">
        <v>130464</v>
      </c>
      <c r="V115" s="251">
        <v>130464</v>
      </c>
      <c r="W115" s="251">
        <v>2022192</v>
      </c>
      <c r="X115" s="316">
        <f t="shared" si="7"/>
        <v>3381381</v>
      </c>
    </row>
    <row r="116" spans="1:24" s="99" customFormat="1" ht="16.5" customHeight="1">
      <c r="A116" s="443"/>
      <c r="B116" s="223" t="s">
        <v>883</v>
      </c>
      <c r="C116" s="426"/>
      <c r="D116" s="426"/>
      <c r="E116" s="428"/>
      <c r="F116" s="434"/>
      <c r="G116" s="296">
        <v>0.00302</v>
      </c>
      <c r="H116" s="313">
        <v>15.67</v>
      </c>
      <c r="I116" s="252">
        <v>12065</v>
      </c>
      <c r="J116" s="252">
        <v>17145</v>
      </c>
      <c r="K116" s="252">
        <v>17190</v>
      </c>
      <c r="L116" s="252">
        <v>16965</v>
      </c>
      <c r="M116" s="252">
        <v>16625</v>
      </c>
      <c r="N116" s="252">
        <v>16095</v>
      </c>
      <c r="O116" s="252">
        <v>15485</v>
      </c>
      <c r="P116" s="252">
        <v>14780</v>
      </c>
      <c r="Q116" s="252">
        <v>14120</v>
      </c>
      <c r="R116" s="252">
        <v>13460</v>
      </c>
      <c r="S116" s="252">
        <v>12835</v>
      </c>
      <c r="T116" s="252">
        <v>12135</v>
      </c>
      <c r="U116" s="252">
        <v>11475</v>
      </c>
      <c r="V116" s="252">
        <v>10815</v>
      </c>
      <c r="W116" s="252">
        <v>83100</v>
      </c>
      <c r="X116" s="317">
        <f t="shared" si="7"/>
        <v>284305.67</v>
      </c>
    </row>
    <row r="117" spans="1:24" s="99" customFormat="1" ht="12.75">
      <c r="A117" s="453">
        <v>56</v>
      </c>
      <c r="B117" s="326" t="s">
        <v>613</v>
      </c>
      <c r="C117" s="455" t="s">
        <v>845</v>
      </c>
      <c r="D117" s="455">
        <v>685</v>
      </c>
      <c r="E117" s="457">
        <f>356301+57894</f>
        <v>414195</v>
      </c>
      <c r="F117" s="459" t="s">
        <v>902</v>
      </c>
      <c r="G117" s="352" t="s">
        <v>616</v>
      </c>
      <c r="H117" s="353"/>
      <c r="I117" s="251"/>
      <c r="J117" s="251"/>
      <c r="K117" s="251">
        <f>1997+3994+6003</f>
        <v>11994</v>
      </c>
      <c r="L117" s="251">
        <v>24012</v>
      </c>
      <c r="M117" s="251">
        <v>24012</v>
      </c>
      <c r="N117" s="251">
        <v>24012</v>
      </c>
      <c r="O117" s="251">
        <v>24012</v>
      </c>
      <c r="P117" s="251">
        <v>24012</v>
      </c>
      <c r="Q117" s="251">
        <v>24012</v>
      </c>
      <c r="R117" s="251">
        <v>24012</v>
      </c>
      <c r="S117" s="251">
        <v>24012</v>
      </c>
      <c r="T117" s="251">
        <v>24012</v>
      </c>
      <c r="U117" s="251">
        <v>24012</v>
      </c>
      <c r="V117" s="251">
        <v>24012</v>
      </c>
      <c r="W117" s="251">
        <v>138069</v>
      </c>
      <c r="X117" s="350">
        <f t="shared" si="7"/>
        <v>414195</v>
      </c>
    </row>
    <row r="118" spans="1:24" s="99" customFormat="1" ht="12.75">
      <c r="A118" s="454"/>
      <c r="B118" s="342" t="s">
        <v>885</v>
      </c>
      <c r="C118" s="456"/>
      <c r="D118" s="456"/>
      <c r="E118" s="458"/>
      <c r="F118" s="460"/>
      <c r="G118" s="354">
        <v>0.0025</v>
      </c>
      <c r="H118" s="355">
        <v>15.59</v>
      </c>
      <c r="I118" s="252">
        <f>1135+180</f>
        <v>1315</v>
      </c>
      <c r="J118" s="252">
        <f>1810+290</f>
        <v>2100</v>
      </c>
      <c r="K118" s="252">
        <f>1815+290</f>
        <v>2105</v>
      </c>
      <c r="L118" s="252">
        <v>2025</v>
      </c>
      <c r="M118" s="252">
        <v>1900</v>
      </c>
      <c r="N118" s="252">
        <v>1780</v>
      </c>
      <c r="O118" s="252">
        <v>1660</v>
      </c>
      <c r="P118" s="252">
        <v>1535</v>
      </c>
      <c r="Q118" s="252">
        <v>1415</v>
      </c>
      <c r="R118" s="252">
        <v>1290</v>
      </c>
      <c r="S118" s="252">
        <v>1175</v>
      </c>
      <c r="T118" s="252">
        <v>1050</v>
      </c>
      <c r="U118" s="252">
        <v>925</v>
      </c>
      <c r="V118" s="252">
        <v>805</v>
      </c>
      <c r="W118" s="252">
        <v>2265</v>
      </c>
      <c r="X118" s="351">
        <f t="shared" si="7"/>
        <v>23360.59</v>
      </c>
    </row>
    <row r="119" spans="1:24" s="99" customFormat="1" ht="18.75" customHeight="1">
      <c r="A119" s="442">
        <v>57</v>
      </c>
      <c r="B119" s="221" t="s">
        <v>613</v>
      </c>
      <c r="C119" s="425" t="s">
        <v>258</v>
      </c>
      <c r="D119" s="425">
        <v>686</v>
      </c>
      <c r="E119" s="427">
        <v>81632</v>
      </c>
      <c r="F119" s="429" t="s">
        <v>903</v>
      </c>
      <c r="G119" s="297" t="s">
        <v>616</v>
      </c>
      <c r="H119" s="312"/>
      <c r="I119" s="251">
        <v>8342</v>
      </c>
      <c r="J119" s="251">
        <v>8376</v>
      </c>
      <c r="K119" s="251">
        <v>8376</v>
      </c>
      <c r="L119" s="251">
        <v>8376</v>
      </c>
      <c r="M119" s="251">
        <v>8376</v>
      </c>
      <c r="N119" s="251">
        <v>8376</v>
      </c>
      <c r="O119" s="251">
        <v>8376</v>
      </c>
      <c r="P119" s="251">
        <v>8376</v>
      </c>
      <c r="Q119" s="251">
        <v>8376</v>
      </c>
      <c r="R119" s="251">
        <v>6282</v>
      </c>
      <c r="S119" s="251"/>
      <c r="T119" s="251"/>
      <c r="U119" s="251"/>
      <c r="V119" s="251"/>
      <c r="W119" s="251"/>
      <c r="X119" s="316">
        <f t="shared" si="7"/>
        <v>81632</v>
      </c>
    </row>
    <row r="120" spans="1:24" s="99" customFormat="1" ht="15.75" customHeight="1">
      <c r="A120" s="443"/>
      <c r="B120" s="223" t="s">
        <v>886</v>
      </c>
      <c r="C120" s="426"/>
      <c r="D120" s="426"/>
      <c r="E120" s="428"/>
      <c r="F120" s="430"/>
      <c r="G120" s="229">
        <v>0.0025</v>
      </c>
      <c r="H120" s="313">
        <v>0</v>
      </c>
      <c r="I120" s="252">
        <v>200</v>
      </c>
      <c r="J120" s="252">
        <v>365</v>
      </c>
      <c r="K120" s="252">
        <v>325</v>
      </c>
      <c r="L120" s="252">
        <v>285</v>
      </c>
      <c r="M120" s="252">
        <v>240</v>
      </c>
      <c r="N120" s="252">
        <v>200</v>
      </c>
      <c r="O120" s="252">
        <v>155</v>
      </c>
      <c r="P120" s="252">
        <v>115</v>
      </c>
      <c r="Q120" s="252">
        <v>70</v>
      </c>
      <c r="R120" s="252">
        <v>30</v>
      </c>
      <c r="S120" s="252"/>
      <c r="T120" s="252"/>
      <c r="U120" s="252"/>
      <c r="V120" s="252"/>
      <c r="W120" s="252"/>
      <c r="X120" s="317">
        <f t="shared" si="7"/>
        <v>1985</v>
      </c>
    </row>
    <row r="121" spans="1:24" s="99" customFormat="1" ht="17.25" customHeight="1">
      <c r="A121" s="442">
        <v>58</v>
      </c>
      <c r="B121" s="221" t="s">
        <v>613</v>
      </c>
      <c r="C121" s="425" t="s">
        <v>907</v>
      </c>
      <c r="D121" s="425">
        <v>687</v>
      </c>
      <c r="E121" s="427">
        <v>400000</v>
      </c>
      <c r="F121" s="433" t="s">
        <v>901</v>
      </c>
      <c r="G121" s="297" t="s">
        <v>616</v>
      </c>
      <c r="H121" s="312"/>
      <c r="I121" s="251"/>
      <c r="J121" s="251"/>
      <c r="K121" s="251">
        <v>11380</v>
      </c>
      <c r="L121" s="251">
        <v>22860</v>
      </c>
      <c r="M121" s="251">
        <v>22860</v>
      </c>
      <c r="N121" s="251">
        <v>22860</v>
      </c>
      <c r="O121" s="251">
        <v>22860</v>
      </c>
      <c r="P121" s="251">
        <v>22860</v>
      </c>
      <c r="Q121" s="251">
        <v>22860</v>
      </c>
      <c r="R121" s="251">
        <v>22860</v>
      </c>
      <c r="S121" s="251">
        <v>22860</v>
      </c>
      <c r="T121" s="251">
        <v>22860</v>
      </c>
      <c r="U121" s="251">
        <v>22860</v>
      </c>
      <c r="V121" s="251">
        <v>22860</v>
      </c>
      <c r="W121" s="251">
        <v>137160</v>
      </c>
      <c r="X121" s="316">
        <f t="shared" si="7"/>
        <v>400000</v>
      </c>
    </row>
    <row r="122" spans="1:24" s="99" customFormat="1" ht="15.75" customHeight="1">
      <c r="A122" s="443"/>
      <c r="B122" s="223" t="s">
        <v>899</v>
      </c>
      <c r="C122" s="426"/>
      <c r="D122" s="426"/>
      <c r="E122" s="428"/>
      <c r="F122" s="434"/>
      <c r="G122" s="229">
        <v>0.0025</v>
      </c>
      <c r="H122" s="313">
        <v>0</v>
      </c>
      <c r="I122" s="252">
        <v>1015</v>
      </c>
      <c r="J122" s="252">
        <v>2030</v>
      </c>
      <c r="K122" s="252">
        <v>2035</v>
      </c>
      <c r="L122" s="252">
        <v>1955</v>
      </c>
      <c r="M122" s="252">
        <v>1840</v>
      </c>
      <c r="N122" s="252">
        <v>1725</v>
      </c>
      <c r="O122" s="252">
        <v>1610</v>
      </c>
      <c r="P122" s="252">
        <v>1490</v>
      </c>
      <c r="Q122" s="252">
        <v>1375</v>
      </c>
      <c r="R122" s="252">
        <v>1260</v>
      </c>
      <c r="S122" s="252">
        <v>1145</v>
      </c>
      <c r="T122" s="252">
        <v>1030</v>
      </c>
      <c r="U122" s="252">
        <v>910</v>
      </c>
      <c r="V122" s="252">
        <v>795</v>
      </c>
      <c r="W122" s="252">
        <v>2340</v>
      </c>
      <c r="X122" s="317">
        <f t="shared" si="7"/>
        <v>22555</v>
      </c>
    </row>
    <row r="123" spans="1:24" s="99" customFormat="1" ht="12.75">
      <c r="A123" s="442">
        <v>59</v>
      </c>
      <c r="B123" s="221" t="s">
        <v>613</v>
      </c>
      <c r="C123" s="425" t="s">
        <v>908</v>
      </c>
      <c r="D123" s="425">
        <v>688</v>
      </c>
      <c r="E123" s="427">
        <f>49586+115701</f>
        <v>165287</v>
      </c>
      <c r="F123" s="433" t="s">
        <v>901</v>
      </c>
      <c r="G123" s="295" t="s">
        <v>616</v>
      </c>
      <c r="H123" s="261"/>
      <c r="I123" s="251"/>
      <c r="J123" s="251"/>
      <c r="K123" s="251">
        <v>2359</v>
      </c>
      <c r="L123" s="251">
        <v>9584</v>
      </c>
      <c r="M123" s="251">
        <v>9584</v>
      </c>
      <c r="N123" s="251">
        <v>9584</v>
      </c>
      <c r="O123" s="251">
        <v>9584</v>
      </c>
      <c r="P123" s="251">
        <v>9584</v>
      </c>
      <c r="Q123" s="251">
        <v>9584</v>
      </c>
      <c r="R123" s="251">
        <v>9584</v>
      </c>
      <c r="S123" s="251">
        <v>9584</v>
      </c>
      <c r="T123" s="251">
        <v>9584</v>
      </c>
      <c r="U123" s="251">
        <v>9584</v>
      </c>
      <c r="V123" s="251">
        <v>9584</v>
      </c>
      <c r="W123" s="251">
        <v>57504</v>
      </c>
      <c r="X123" s="316">
        <f t="shared" si="7"/>
        <v>165287</v>
      </c>
    </row>
    <row r="124" spans="1:24" s="99" customFormat="1" ht="12.75">
      <c r="A124" s="443"/>
      <c r="B124" s="223" t="s">
        <v>900</v>
      </c>
      <c r="C124" s="426"/>
      <c r="D124" s="426"/>
      <c r="E124" s="428"/>
      <c r="F124" s="434"/>
      <c r="G124" s="296">
        <v>0.0025</v>
      </c>
      <c r="H124" s="363">
        <v>0</v>
      </c>
      <c r="I124" s="252">
        <v>420</v>
      </c>
      <c r="J124" s="252">
        <v>840</v>
      </c>
      <c r="K124" s="252">
        <v>845</v>
      </c>
      <c r="L124" s="252">
        <v>820</v>
      </c>
      <c r="M124" s="252">
        <v>770</v>
      </c>
      <c r="N124" s="252">
        <v>725</v>
      </c>
      <c r="O124" s="252">
        <v>675</v>
      </c>
      <c r="P124" s="252">
        <v>625</v>
      </c>
      <c r="Q124" s="252">
        <v>580</v>
      </c>
      <c r="R124" s="252">
        <v>530</v>
      </c>
      <c r="S124" s="252">
        <v>480</v>
      </c>
      <c r="T124" s="252">
        <v>430</v>
      </c>
      <c r="U124" s="252">
        <v>385</v>
      </c>
      <c r="V124" s="252">
        <v>335</v>
      </c>
      <c r="W124" s="252">
        <v>980</v>
      </c>
      <c r="X124" s="317">
        <f t="shared" si="7"/>
        <v>9440</v>
      </c>
    </row>
    <row r="125" spans="1:24" s="99" customFormat="1" ht="12.75">
      <c r="A125" s="442">
        <v>60</v>
      </c>
      <c r="B125" s="221" t="s">
        <v>613</v>
      </c>
      <c r="C125" s="425" t="s">
        <v>904</v>
      </c>
      <c r="D125" s="425">
        <v>689</v>
      </c>
      <c r="E125" s="427">
        <v>182387</v>
      </c>
      <c r="F125" s="433" t="s">
        <v>912</v>
      </c>
      <c r="G125" s="277" t="s">
        <v>616</v>
      </c>
      <c r="H125" s="312"/>
      <c r="I125" s="371">
        <v>0</v>
      </c>
      <c r="J125" s="372">
        <v>14027</v>
      </c>
      <c r="K125" s="372">
        <v>56120</v>
      </c>
      <c r="L125" s="372">
        <v>56120</v>
      </c>
      <c r="M125" s="372">
        <v>56120</v>
      </c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364">
        <f t="shared" si="7"/>
        <v>182387</v>
      </c>
    </row>
    <row r="126" spans="1:24" s="99" customFormat="1" ht="12.75">
      <c r="A126" s="443"/>
      <c r="B126" s="223" t="s">
        <v>914</v>
      </c>
      <c r="C126" s="426"/>
      <c r="D126" s="426"/>
      <c r="E126" s="428"/>
      <c r="F126" s="434"/>
      <c r="G126" s="225">
        <v>0.0025</v>
      </c>
      <c r="H126" s="313">
        <v>0</v>
      </c>
      <c r="I126" s="368">
        <v>465</v>
      </c>
      <c r="J126" s="368">
        <v>925</v>
      </c>
      <c r="K126" s="368">
        <v>815</v>
      </c>
      <c r="L126" s="368">
        <v>530</v>
      </c>
      <c r="M126" s="368">
        <v>255</v>
      </c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65">
        <f aca="true" t="shared" si="8" ref="X126:X132">SUM(H126:W126)</f>
        <v>2990</v>
      </c>
    </row>
    <row r="127" spans="1:24" s="99" customFormat="1" ht="12.75">
      <c r="A127" s="442">
        <v>61</v>
      </c>
      <c r="B127" s="221" t="s">
        <v>613</v>
      </c>
      <c r="C127" s="425" t="s">
        <v>888</v>
      </c>
      <c r="D127" s="425">
        <v>690</v>
      </c>
      <c r="E127" s="427">
        <v>1554321</v>
      </c>
      <c r="F127" s="433" t="s">
        <v>913</v>
      </c>
      <c r="G127" s="277" t="s">
        <v>616</v>
      </c>
      <c r="H127" s="261"/>
      <c r="I127" s="251"/>
      <c r="J127" s="251"/>
      <c r="K127" s="251">
        <v>1971</v>
      </c>
      <c r="L127" s="251">
        <v>10000</v>
      </c>
      <c r="M127" s="251">
        <v>20000</v>
      </c>
      <c r="N127" s="251">
        <v>60000</v>
      </c>
      <c r="O127" s="251">
        <v>77992</v>
      </c>
      <c r="P127" s="251">
        <v>77992</v>
      </c>
      <c r="Q127" s="251">
        <v>77992</v>
      </c>
      <c r="R127" s="251">
        <v>77992</v>
      </c>
      <c r="S127" s="251">
        <v>77992</v>
      </c>
      <c r="T127" s="251">
        <v>77992</v>
      </c>
      <c r="U127" s="251">
        <v>77992</v>
      </c>
      <c r="V127" s="251">
        <v>77992</v>
      </c>
      <c r="W127" s="251">
        <v>838414</v>
      </c>
      <c r="X127" s="373">
        <f t="shared" si="8"/>
        <v>1554321</v>
      </c>
    </row>
    <row r="128" spans="1:24" s="99" customFormat="1" ht="12.75">
      <c r="A128" s="443"/>
      <c r="B128" s="223" t="s">
        <v>915</v>
      </c>
      <c r="C128" s="426"/>
      <c r="D128" s="426"/>
      <c r="E128" s="428"/>
      <c r="F128" s="434"/>
      <c r="G128" s="225">
        <v>0.0025</v>
      </c>
      <c r="H128" s="363">
        <v>0</v>
      </c>
      <c r="I128" s="252">
        <v>3940</v>
      </c>
      <c r="J128" s="252">
        <v>7880</v>
      </c>
      <c r="K128" s="252">
        <v>7905</v>
      </c>
      <c r="L128" s="252">
        <v>7865</v>
      </c>
      <c r="M128" s="252">
        <v>7805</v>
      </c>
      <c r="N128" s="252">
        <v>7660</v>
      </c>
      <c r="O128" s="252">
        <v>7370</v>
      </c>
      <c r="P128" s="252">
        <v>6960</v>
      </c>
      <c r="Q128" s="252">
        <v>6565</v>
      </c>
      <c r="R128" s="252">
        <v>6170</v>
      </c>
      <c r="S128" s="252">
        <v>5790</v>
      </c>
      <c r="T128" s="252">
        <v>5380</v>
      </c>
      <c r="U128" s="252">
        <v>4985</v>
      </c>
      <c r="V128" s="252">
        <v>4585</v>
      </c>
      <c r="W128" s="252">
        <v>24360</v>
      </c>
      <c r="X128" s="374">
        <f t="shared" si="8"/>
        <v>115220</v>
      </c>
    </row>
    <row r="129" spans="1:24" s="99" customFormat="1" ht="24" customHeight="1">
      <c r="A129" s="442">
        <v>62</v>
      </c>
      <c r="B129" s="221" t="s">
        <v>613</v>
      </c>
      <c r="C129" s="425" t="s">
        <v>911</v>
      </c>
      <c r="D129" s="425"/>
      <c r="E129" s="427">
        <v>102740.98</v>
      </c>
      <c r="F129" s="433" t="s">
        <v>841</v>
      </c>
      <c r="G129" s="277" t="s">
        <v>616</v>
      </c>
      <c r="H129" s="261"/>
      <c r="I129" s="251"/>
      <c r="J129" s="251">
        <v>8559</v>
      </c>
      <c r="K129" s="251">
        <v>34248</v>
      </c>
      <c r="L129" s="251">
        <v>34248</v>
      </c>
      <c r="M129" s="251">
        <v>25686</v>
      </c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373">
        <f t="shared" si="8"/>
        <v>102741</v>
      </c>
    </row>
    <row r="130" spans="1:24" s="99" customFormat="1" ht="23.25" customHeight="1">
      <c r="A130" s="443"/>
      <c r="B130" s="370"/>
      <c r="C130" s="426"/>
      <c r="D130" s="426"/>
      <c r="E130" s="428"/>
      <c r="F130" s="434"/>
      <c r="G130" s="225">
        <v>0.0025</v>
      </c>
      <c r="H130" s="363">
        <v>0</v>
      </c>
      <c r="I130" s="252">
        <v>265</v>
      </c>
      <c r="J130" s="252">
        <v>525</v>
      </c>
      <c r="K130" s="252">
        <v>455</v>
      </c>
      <c r="L130" s="252">
        <v>280</v>
      </c>
      <c r="M130" s="252">
        <v>105</v>
      </c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374">
        <f t="shared" si="8"/>
        <v>1630</v>
      </c>
    </row>
    <row r="131" spans="1:24" s="99" customFormat="1" ht="12.75" hidden="1">
      <c r="A131" s="447"/>
      <c r="B131" s="231"/>
      <c r="C131" s="435"/>
      <c r="D131" s="435"/>
      <c r="E131" s="437"/>
      <c r="F131" s="439"/>
      <c r="G131" s="375" t="s">
        <v>616</v>
      </c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3">
        <f t="shared" si="8"/>
        <v>0</v>
      </c>
    </row>
    <row r="132" spans="1:24" s="99" customFormat="1" ht="12.75" hidden="1">
      <c r="A132" s="448"/>
      <c r="B132" s="377"/>
      <c r="C132" s="436"/>
      <c r="D132" s="436"/>
      <c r="E132" s="438"/>
      <c r="F132" s="440"/>
      <c r="G132" s="378">
        <v>0.0025</v>
      </c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4">
        <f t="shared" si="8"/>
        <v>0</v>
      </c>
    </row>
    <row r="133" spans="1:24" ht="12.75">
      <c r="A133" s="143"/>
      <c r="B133" s="496" t="s">
        <v>789</v>
      </c>
      <c r="C133" s="497"/>
      <c r="D133" s="497"/>
      <c r="E133" s="497"/>
      <c r="F133" s="497"/>
      <c r="G133" s="498"/>
      <c r="H133" s="270">
        <f>SUM(H9+H11+H13+H15+H17+H23+H19+H21+H25+H27+H33+H31+H29+H35+H37+H39+H41)+H43+H45+H47+H7+H49+H51+H53+H55+H57+H59+H63+H61+H65+H67+H69+H91+H71+H73+H75+H77+H79+H81+H83+H85+H87+H89+H93+H95+H97+H99+H101+H103+H105+H107+H109+H111+H113+H115+H117+H121+H123+H125+H127+H129+H131+H119</f>
        <v>6373187.22</v>
      </c>
      <c r="I133" s="270">
        <f aca="true" t="shared" si="9" ref="I133:X133">SUM(I9+I11+I13+I15+I17+I23+I19+I21+I25+I27+I33+I31+I29+I35+I37+I39+I41)+I43+I45+I47+I7+I49+I51+I53+I55+I57+I59+I63+I61+I65+I67+I69+I91+I71+I73+I75+I77+I79+I81+I83+I85+I87+I89+I93+I95+I97+I99+I101+I103+I105+I107+I109+I111+I113+I115+I117+I121+I123+I125+I127+I129+I131+I119</f>
        <v>4759907.319999999</v>
      </c>
      <c r="J133" s="270">
        <f t="shared" si="9"/>
        <v>4491594.7299999995</v>
      </c>
      <c r="K133" s="270">
        <f t="shared" si="9"/>
        <v>4552747.43</v>
      </c>
      <c r="L133" s="270">
        <f t="shared" si="9"/>
        <v>4741644</v>
      </c>
      <c r="M133" s="270">
        <f t="shared" si="9"/>
        <v>4822778</v>
      </c>
      <c r="N133" s="270">
        <f t="shared" si="9"/>
        <v>3700296</v>
      </c>
      <c r="O133" s="270">
        <f t="shared" si="9"/>
        <v>3488505.13</v>
      </c>
      <c r="P133" s="270">
        <f t="shared" si="9"/>
        <v>3557580</v>
      </c>
      <c r="Q133" s="270">
        <f t="shared" si="9"/>
        <v>3731626.85</v>
      </c>
      <c r="R133" s="270">
        <f t="shared" si="9"/>
        <v>3854262</v>
      </c>
      <c r="S133" s="270">
        <f t="shared" si="9"/>
        <v>3847980</v>
      </c>
      <c r="T133" s="270">
        <f t="shared" si="9"/>
        <v>3825928</v>
      </c>
      <c r="U133" s="270">
        <f t="shared" si="9"/>
        <v>3369528</v>
      </c>
      <c r="V133" s="270">
        <f t="shared" si="9"/>
        <v>3050474.76</v>
      </c>
      <c r="W133" s="270">
        <f t="shared" si="9"/>
        <v>33178082.009999998</v>
      </c>
      <c r="X133" s="270">
        <f t="shared" si="9"/>
        <v>95346121.45</v>
      </c>
    </row>
    <row r="134" spans="1:24" ht="13.5" thickBot="1">
      <c r="A134" s="145"/>
      <c r="B134" s="482" t="s">
        <v>724</v>
      </c>
      <c r="C134" s="483"/>
      <c r="D134" s="483"/>
      <c r="E134" s="483"/>
      <c r="F134" s="483"/>
      <c r="G134" s="484"/>
      <c r="H134" s="271">
        <f>SUM(H10+H12+H14+H16+H18+H24+H20+H22+H26+H28+H34+H32+H30+H36+H38+H40+H42)+H44+H46+H48+H8+H50+H52+H54+H56+H58+H60+H64+H62+H66+H68+H70+H92+H72+H74+H76+H78+H80+H82+H84+H86+H88+H90+H94+H96+H98+H100+H102+H104+H106+H108+H110+H112+H114+H116+H118+H122+H124+H126+H128+H130+H132+H120</f>
        <v>208132.00999999998</v>
      </c>
      <c r="I134" s="271">
        <f aca="true" t="shared" si="10" ref="I134:X134">SUM(I10+I12+I14+I16+I18+I24+I20+I22+I26+I28+I34+I32+I30+I36+I38+I40+I42)+I44+I46+I48+I8+I50+I52+I54+I56+I58+I60+I64+I62+I66+I68+I70+I92+I72+I74+I76+I78+I80+I82+I84+I86+I88+I90+I94+I96+I98+I100+I102+I104+I106+I108+I110+I112+I114+I116+I118+I122+I124+I126+I128+I130+I132+I120</f>
        <v>309265</v>
      </c>
      <c r="J134" s="271">
        <f t="shared" si="10"/>
        <v>427745</v>
      </c>
      <c r="K134" s="271">
        <f t="shared" si="10"/>
        <v>406015</v>
      </c>
      <c r="L134" s="271">
        <f t="shared" si="10"/>
        <v>381475</v>
      </c>
      <c r="M134" s="271">
        <f t="shared" si="10"/>
        <v>357200</v>
      </c>
      <c r="N134" s="271">
        <f t="shared" si="10"/>
        <v>333770</v>
      </c>
      <c r="O134" s="271">
        <f t="shared" si="10"/>
        <v>315610</v>
      </c>
      <c r="P134" s="271">
        <f t="shared" si="10"/>
        <v>296670</v>
      </c>
      <c r="Q134" s="271">
        <f t="shared" si="10"/>
        <v>278285</v>
      </c>
      <c r="R134" s="271">
        <f t="shared" si="10"/>
        <v>259080</v>
      </c>
      <c r="S134" s="271">
        <f t="shared" si="10"/>
        <v>240020</v>
      </c>
      <c r="T134" s="271">
        <f t="shared" si="10"/>
        <v>219670</v>
      </c>
      <c r="U134" s="271">
        <f t="shared" si="10"/>
        <v>200540</v>
      </c>
      <c r="V134" s="271">
        <f t="shared" si="10"/>
        <v>183420</v>
      </c>
      <c r="W134" s="271">
        <f t="shared" si="10"/>
        <v>1134015</v>
      </c>
      <c r="X134" s="271">
        <f t="shared" si="10"/>
        <v>5550912.010000001</v>
      </c>
    </row>
    <row r="135" spans="1:24" ht="13.5" thickTop="1">
      <c r="A135" s="147"/>
      <c r="B135" s="485" t="s">
        <v>725</v>
      </c>
      <c r="C135" s="486"/>
      <c r="D135" s="486"/>
      <c r="E135" s="486"/>
      <c r="F135" s="486"/>
      <c r="G135" s="487"/>
      <c r="H135" s="148">
        <f>SUM(H133:H134)</f>
        <v>6581319.2299999995</v>
      </c>
      <c r="I135" s="148">
        <f aca="true" t="shared" si="11" ref="I135:V135">SUM(I133:I134)</f>
        <v>5069172.319999999</v>
      </c>
      <c r="J135" s="148">
        <f t="shared" si="11"/>
        <v>4919339.7299999995</v>
      </c>
      <c r="K135" s="148">
        <f t="shared" si="11"/>
        <v>4958762.43</v>
      </c>
      <c r="L135" s="148">
        <f t="shared" si="11"/>
        <v>5123119</v>
      </c>
      <c r="M135" s="148">
        <f t="shared" si="11"/>
        <v>5179978</v>
      </c>
      <c r="N135" s="148">
        <f t="shared" si="11"/>
        <v>4034066</v>
      </c>
      <c r="O135" s="148">
        <f t="shared" si="11"/>
        <v>3804115.13</v>
      </c>
      <c r="P135" s="148">
        <f t="shared" si="11"/>
        <v>3854250</v>
      </c>
      <c r="Q135" s="148">
        <f t="shared" si="11"/>
        <v>4009911.85</v>
      </c>
      <c r="R135" s="148">
        <f t="shared" si="11"/>
        <v>4113342</v>
      </c>
      <c r="S135" s="148">
        <f t="shared" si="11"/>
        <v>4088000</v>
      </c>
      <c r="T135" s="148">
        <f t="shared" si="11"/>
        <v>4045598</v>
      </c>
      <c r="U135" s="148">
        <f t="shared" si="11"/>
        <v>3570068</v>
      </c>
      <c r="V135" s="148">
        <f t="shared" si="11"/>
        <v>3233894.76</v>
      </c>
      <c r="W135" s="148">
        <f>SUM(W133:W134)</f>
        <v>34312097.01</v>
      </c>
      <c r="X135" s="148">
        <f>SUM(X133:X134)</f>
        <v>100897033.46000001</v>
      </c>
    </row>
    <row r="136" spans="1:24" s="269" customFormat="1" ht="12.75">
      <c r="A136" s="267"/>
      <c r="B136" s="488" t="s">
        <v>726</v>
      </c>
      <c r="C136" s="489"/>
      <c r="D136" s="489"/>
      <c r="E136" s="489"/>
      <c r="F136" s="490"/>
      <c r="G136" s="149" t="s">
        <v>727</v>
      </c>
      <c r="H136" s="272">
        <f aca="true" t="shared" si="12" ref="H136:W136">SUM(H135/$E$139)</f>
        <v>0.10002439817330051</v>
      </c>
      <c r="I136" s="272">
        <f t="shared" si="12"/>
        <v>0.07704244283326665</v>
      </c>
      <c r="J136" s="272">
        <f t="shared" si="12"/>
        <v>0.07476525278705506</v>
      </c>
      <c r="K136" s="272">
        <f t="shared" si="12"/>
        <v>0.0753644080178015</v>
      </c>
      <c r="L136" s="272">
        <f t="shared" si="12"/>
        <v>0.0778623368411201</v>
      </c>
      <c r="M136" s="272">
        <f t="shared" si="12"/>
        <v>0.07872649295587153</v>
      </c>
      <c r="N136" s="272">
        <f t="shared" si="12"/>
        <v>0.06131065972336578</v>
      </c>
      <c r="O136" s="272">
        <f t="shared" si="12"/>
        <v>0.057815813693662274</v>
      </c>
      <c r="P136" s="272">
        <f t="shared" si="12"/>
        <v>0.05857777493942404</v>
      </c>
      <c r="Q136" s="272">
        <f t="shared" si="12"/>
        <v>0.060943559415250564</v>
      </c>
      <c r="R136" s="272">
        <f t="shared" si="12"/>
        <v>0.06251551454235722</v>
      </c>
      <c r="S136" s="272">
        <f t="shared" si="12"/>
        <v>0.062130361017672824</v>
      </c>
      <c r="T136" s="272">
        <f t="shared" si="12"/>
        <v>0.061485925702635794</v>
      </c>
      <c r="U136" s="272">
        <f t="shared" si="12"/>
        <v>0.0542587117655678</v>
      </c>
      <c r="V136" s="272">
        <f t="shared" si="12"/>
        <v>0.04914947380918796</v>
      </c>
      <c r="W136" s="272">
        <f t="shared" si="12"/>
        <v>0.5214831150941076</v>
      </c>
      <c r="X136" s="268" t="s">
        <v>847</v>
      </c>
    </row>
    <row r="137" spans="1:24" ht="12.75">
      <c r="A137" s="150"/>
      <c r="B137" s="491" t="s">
        <v>728</v>
      </c>
      <c r="C137" s="492"/>
      <c r="D137" s="492"/>
      <c r="E137" s="492"/>
      <c r="F137" s="493"/>
      <c r="G137" s="151" t="s">
        <v>727</v>
      </c>
      <c r="H137" s="273">
        <f aca="true" t="shared" si="13" ref="H137:W137">SUM((H135-H140)/$E$139)</f>
        <v>0.08548818087667914</v>
      </c>
      <c r="I137" s="273">
        <f t="shared" si="13"/>
        <v>0.07704244283326665</v>
      </c>
      <c r="J137" s="273">
        <f t="shared" si="13"/>
        <v>0.07476525278705506</v>
      </c>
      <c r="K137" s="273">
        <f t="shared" si="13"/>
        <v>0.0753644080178015</v>
      </c>
      <c r="L137" s="273">
        <f t="shared" si="13"/>
        <v>0.0778623368411201</v>
      </c>
      <c r="M137" s="273">
        <f t="shared" si="13"/>
        <v>0.07872649295587153</v>
      </c>
      <c r="N137" s="273">
        <f t="shared" si="13"/>
        <v>0.06131065972336578</v>
      </c>
      <c r="O137" s="273">
        <f t="shared" si="13"/>
        <v>0.057815813693662274</v>
      </c>
      <c r="P137" s="273">
        <f t="shared" si="13"/>
        <v>0.05857777493942404</v>
      </c>
      <c r="Q137" s="273">
        <f t="shared" si="13"/>
        <v>0.060943559415250564</v>
      </c>
      <c r="R137" s="273">
        <f t="shared" si="13"/>
        <v>0.06251551454235722</v>
      </c>
      <c r="S137" s="273">
        <f t="shared" si="13"/>
        <v>0.062130361017672824</v>
      </c>
      <c r="T137" s="273">
        <f t="shared" si="13"/>
        <v>0.061485925702635794</v>
      </c>
      <c r="U137" s="273">
        <f t="shared" si="13"/>
        <v>0.0542587117655678</v>
      </c>
      <c r="V137" s="273">
        <f t="shared" si="13"/>
        <v>0.04914947380918796</v>
      </c>
      <c r="W137" s="273">
        <f t="shared" si="13"/>
        <v>0.5214831150941076</v>
      </c>
      <c r="X137" s="152" t="s">
        <v>847</v>
      </c>
    </row>
    <row r="138" spans="1:24" ht="12.75">
      <c r="A138" s="150"/>
      <c r="B138" s="491" t="s">
        <v>790</v>
      </c>
      <c r="C138" s="492"/>
      <c r="D138" s="493"/>
      <c r="E138" s="144">
        <f>SUM(E7:E132)</f>
        <v>111315157.03000002</v>
      </c>
      <c r="F138" s="153"/>
      <c r="G138" s="154"/>
      <c r="H138" s="380"/>
      <c r="I138" s="155"/>
      <c r="J138" s="155"/>
      <c r="K138" s="155"/>
      <c r="L138" s="155"/>
      <c r="M138" s="155"/>
      <c r="N138" s="155"/>
      <c r="O138" s="155"/>
      <c r="P138" s="156"/>
      <c r="Q138" s="156"/>
      <c r="R138" s="156"/>
      <c r="S138" s="156"/>
      <c r="T138" s="156"/>
      <c r="U138" s="156"/>
      <c r="V138" s="156"/>
      <c r="W138" s="156"/>
      <c r="X138" s="157"/>
    </row>
    <row r="139" spans="1:24" ht="12.75">
      <c r="A139" s="150"/>
      <c r="B139" s="491" t="s">
        <v>791</v>
      </c>
      <c r="C139" s="492"/>
      <c r="D139" s="493"/>
      <c r="E139" s="250">
        <f>'1.pielikums'!E9-'1.pielikums'!E54</f>
        <v>65797139</v>
      </c>
      <c r="F139" s="153"/>
      <c r="G139" s="154"/>
      <c r="H139" s="155"/>
      <c r="I139" s="155"/>
      <c r="J139" s="155"/>
      <c r="K139" s="155"/>
      <c r="L139" s="155"/>
      <c r="M139" s="155"/>
      <c r="N139" s="155"/>
      <c r="O139" s="155"/>
      <c r="P139" s="156"/>
      <c r="Q139" s="156"/>
      <c r="R139" s="156"/>
      <c r="S139" s="156"/>
      <c r="T139" s="156"/>
      <c r="U139" s="156"/>
      <c r="V139" s="156"/>
      <c r="W139" s="156"/>
      <c r="X139" s="157"/>
    </row>
    <row r="140" spans="3:24" ht="15.75" customHeight="1">
      <c r="C140" s="139"/>
      <c r="D140" s="158"/>
      <c r="E140" s="441" t="s">
        <v>905</v>
      </c>
      <c r="F140" s="441"/>
      <c r="G140" s="441"/>
      <c r="H140" s="383">
        <f>H57-500.84+H19-1000+H39-500.19+H65-250.15+H71+H81+H87+H103+H101+H35-38592</f>
        <v>956441.5099999999</v>
      </c>
      <c r="I140" s="159"/>
      <c r="J140" s="159"/>
      <c r="K140" s="159"/>
      <c r="L140" s="159"/>
      <c r="M140" s="159"/>
      <c r="N140" s="159"/>
      <c r="O140" s="159"/>
      <c r="P140" s="160"/>
      <c r="Q140" s="160"/>
      <c r="R140" s="160"/>
      <c r="S140" s="160"/>
      <c r="T140" s="160"/>
      <c r="U140" s="160"/>
      <c r="V140" s="160"/>
      <c r="W140" s="161"/>
      <c r="X140" s="160"/>
    </row>
    <row r="141" spans="3:24" ht="26.25" customHeight="1">
      <c r="C141" s="139"/>
      <c r="D141" s="158"/>
      <c r="E141" s="481" t="s">
        <v>906</v>
      </c>
      <c r="F141" s="481"/>
      <c r="G141" s="481"/>
      <c r="H141" s="384">
        <f>3756556-H140</f>
        <v>2800114.49</v>
      </c>
      <c r="I141" s="159"/>
      <c r="J141" s="159"/>
      <c r="K141" s="159"/>
      <c r="L141" s="159"/>
      <c r="M141" s="159"/>
      <c r="N141" s="159"/>
      <c r="O141" s="159"/>
      <c r="P141" s="160"/>
      <c r="Q141" s="160"/>
      <c r="R141" s="160"/>
      <c r="S141" s="160"/>
      <c r="T141" s="160"/>
      <c r="U141" s="160"/>
      <c r="V141" s="160"/>
      <c r="W141" s="161"/>
      <c r="X141" s="160"/>
    </row>
    <row r="142" spans="3:24" ht="14.25" customHeight="1">
      <c r="C142" s="162"/>
      <c r="D142" s="162"/>
      <c r="E142" s="478" t="s">
        <v>792</v>
      </c>
      <c r="F142" s="478"/>
      <c r="G142" s="478"/>
      <c r="H142" s="293">
        <f>5416745.71</f>
        <v>5416745.71</v>
      </c>
      <c r="I142" s="159"/>
      <c r="J142" s="159"/>
      <c r="K142" s="159"/>
      <c r="L142" s="159"/>
      <c r="M142" s="159"/>
      <c r="N142" s="159"/>
      <c r="O142" s="159"/>
      <c r="P142" s="160"/>
      <c r="Q142" s="160"/>
      <c r="R142" s="160"/>
      <c r="S142" s="160"/>
      <c r="T142" s="160"/>
      <c r="U142" s="160"/>
      <c r="V142" s="160"/>
      <c r="W142" s="161"/>
      <c r="X142" s="160"/>
    </row>
    <row r="143" spans="3:24" ht="12.75" hidden="1">
      <c r="C143" s="163"/>
      <c r="D143" s="163"/>
      <c r="E143" s="479"/>
      <c r="F143" s="479"/>
      <c r="G143" s="479"/>
      <c r="H143" s="159"/>
      <c r="I143" s="159"/>
      <c r="J143" s="159"/>
      <c r="K143" s="159"/>
      <c r="L143" s="159"/>
      <c r="M143" s="159"/>
      <c r="N143" s="159"/>
      <c r="O143" s="159"/>
      <c r="P143" s="160"/>
      <c r="Q143" s="160"/>
      <c r="R143" s="160"/>
      <c r="S143" s="160"/>
      <c r="T143" s="160"/>
      <c r="U143" s="160"/>
      <c r="V143" s="160"/>
      <c r="W143" s="161"/>
      <c r="X143" s="160"/>
    </row>
    <row r="144" spans="4:24" ht="12.75" hidden="1">
      <c r="D144" s="100"/>
      <c r="E144" s="164"/>
      <c r="F144" s="165"/>
      <c r="G144" s="165"/>
      <c r="H144" s="166"/>
      <c r="I144" s="166"/>
      <c r="J144" s="166"/>
      <c r="K144" s="166"/>
      <c r="L144" s="166"/>
      <c r="M144" s="166"/>
      <c r="N144" s="166"/>
      <c r="O144" s="166"/>
      <c r="P144" s="161"/>
      <c r="Q144" s="161"/>
      <c r="R144" s="161"/>
      <c r="S144" s="161"/>
      <c r="T144" s="161"/>
      <c r="U144" s="161"/>
      <c r="V144" s="161"/>
      <c r="X144" s="167"/>
    </row>
    <row r="145" spans="1:24" s="173" customFormat="1" ht="12.75" hidden="1">
      <c r="A145" s="139"/>
      <c r="B145" s="103"/>
      <c r="C145" s="480" t="s">
        <v>730</v>
      </c>
      <c r="D145" s="480"/>
      <c r="E145" s="480"/>
      <c r="F145" s="480"/>
      <c r="G145" s="480"/>
      <c r="H145" s="168"/>
      <c r="I145" s="169">
        <f aca="true" t="shared" si="14" ref="I145:V145">I133-H133</f>
        <v>-1613279.9000000004</v>
      </c>
      <c r="J145" s="169">
        <f t="shared" si="14"/>
        <v>-268312.58999999985</v>
      </c>
      <c r="K145" s="169">
        <f t="shared" si="14"/>
        <v>61152.700000000186</v>
      </c>
      <c r="L145" s="169">
        <f t="shared" si="14"/>
        <v>188896.5700000003</v>
      </c>
      <c r="M145" s="169">
        <f t="shared" si="14"/>
        <v>81134</v>
      </c>
      <c r="N145" s="169">
        <f t="shared" si="14"/>
        <v>-1122482</v>
      </c>
      <c r="O145" s="169">
        <f t="shared" si="14"/>
        <v>-211790.8700000001</v>
      </c>
      <c r="P145" s="170">
        <f t="shared" si="14"/>
        <v>69074.87000000011</v>
      </c>
      <c r="Q145" s="170">
        <f t="shared" si="14"/>
        <v>174046.8500000001</v>
      </c>
      <c r="R145" s="170">
        <f t="shared" si="14"/>
        <v>122635.1499999999</v>
      </c>
      <c r="S145" s="170">
        <f t="shared" si="14"/>
        <v>-6282</v>
      </c>
      <c r="T145" s="170">
        <f t="shared" si="14"/>
        <v>-22052</v>
      </c>
      <c r="U145" s="170">
        <f t="shared" si="14"/>
        <v>-456400</v>
      </c>
      <c r="V145" s="170">
        <f t="shared" si="14"/>
        <v>-319053.2400000002</v>
      </c>
      <c r="W145" s="171"/>
      <c r="X145" s="172"/>
    </row>
    <row r="146" spans="1:24" s="173" customFormat="1" ht="12.75" hidden="1">
      <c r="A146" s="139"/>
      <c r="B146" s="103"/>
      <c r="C146" s="480" t="s">
        <v>731</v>
      </c>
      <c r="D146" s="480"/>
      <c r="E146" s="480"/>
      <c r="F146" s="480"/>
      <c r="G146" s="480"/>
      <c r="H146" s="168"/>
      <c r="I146" s="169">
        <f aca="true" t="shared" si="15" ref="I146:V146">I135-H135</f>
        <v>-1512146.9100000001</v>
      </c>
      <c r="J146" s="169">
        <f t="shared" si="15"/>
        <v>-149832.58999999985</v>
      </c>
      <c r="K146" s="169">
        <f t="shared" si="15"/>
        <v>39422.700000000186</v>
      </c>
      <c r="L146" s="169">
        <f t="shared" si="15"/>
        <v>164356.5700000003</v>
      </c>
      <c r="M146" s="169">
        <f t="shared" si="15"/>
        <v>56859</v>
      </c>
      <c r="N146" s="169">
        <f t="shared" si="15"/>
        <v>-1145912</v>
      </c>
      <c r="O146" s="169">
        <f t="shared" si="15"/>
        <v>-229950.8700000001</v>
      </c>
      <c r="P146" s="170">
        <f t="shared" si="15"/>
        <v>50134.87000000011</v>
      </c>
      <c r="Q146" s="170">
        <f t="shared" si="15"/>
        <v>155661.8500000001</v>
      </c>
      <c r="R146" s="170">
        <f t="shared" si="15"/>
        <v>103430.1499999999</v>
      </c>
      <c r="S146" s="170">
        <f t="shared" si="15"/>
        <v>-25342</v>
      </c>
      <c r="T146" s="170">
        <f t="shared" si="15"/>
        <v>-42402</v>
      </c>
      <c r="U146" s="170">
        <f t="shared" si="15"/>
        <v>-475530</v>
      </c>
      <c r="V146" s="170">
        <f t="shared" si="15"/>
        <v>-336173.2400000002</v>
      </c>
      <c r="W146" s="171"/>
      <c r="X146" s="172"/>
    </row>
    <row r="147" spans="1:24" s="173" customFormat="1" ht="12.75" hidden="1">
      <c r="A147" s="174"/>
      <c r="B147" s="104"/>
      <c r="C147" s="174"/>
      <c r="D147" s="174"/>
      <c r="E147" s="140"/>
      <c r="F147" s="139"/>
      <c r="G147" s="139"/>
      <c r="H147" s="175"/>
      <c r="I147" s="175"/>
      <c r="J147" s="175"/>
      <c r="K147" s="175"/>
      <c r="L147" s="175"/>
      <c r="M147" s="175"/>
      <c r="N147" s="175"/>
      <c r="O147" s="175"/>
      <c r="P147" s="176"/>
      <c r="Q147" s="176"/>
      <c r="R147" s="176"/>
      <c r="S147" s="176"/>
      <c r="T147" s="176"/>
      <c r="U147" s="176"/>
      <c r="V147" s="176"/>
      <c r="W147" s="176"/>
      <c r="X147" s="176"/>
    </row>
    <row r="148" spans="1:24" s="173" customFormat="1" ht="12.75">
      <c r="A148" s="174"/>
      <c r="B148" s="104"/>
      <c r="C148" s="174"/>
      <c r="D148" s="174"/>
      <c r="E148" s="140"/>
      <c r="F148" s="139"/>
      <c r="G148" s="139"/>
      <c r="H148" s="175"/>
      <c r="I148" s="175"/>
      <c r="J148" s="175"/>
      <c r="K148" s="175"/>
      <c r="L148" s="175"/>
      <c r="M148" s="175"/>
      <c r="N148" s="175"/>
      <c r="O148" s="175"/>
      <c r="P148" s="176"/>
      <c r="Q148" s="176"/>
      <c r="R148" s="176"/>
      <c r="S148" s="176"/>
      <c r="T148" s="176"/>
      <c r="U148" s="176"/>
      <c r="V148" s="176"/>
      <c r="W148" s="176"/>
      <c r="X148" s="176"/>
    </row>
    <row r="149" spans="1:24" s="173" customFormat="1" ht="12.75" hidden="1">
      <c r="A149" s="174"/>
      <c r="B149" s="104"/>
      <c r="C149" s="174"/>
      <c r="D149" s="174"/>
      <c r="E149" s="140"/>
      <c r="F149" s="139"/>
      <c r="G149" s="139"/>
      <c r="H149" s="175"/>
      <c r="I149" s="175"/>
      <c r="J149" s="175"/>
      <c r="K149" s="175"/>
      <c r="L149" s="175"/>
      <c r="M149" s="175"/>
      <c r="N149" s="175"/>
      <c r="O149" s="175"/>
      <c r="P149" s="176"/>
      <c r="Q149" s="176"/>
      <c r="R149" s="176"/>
      <c r="S149" s="176"/>
      <c r="T149" s="176"/>
      <c r="U149" s="176"/>
      <c r="V149" s="176"/>
      <c r="W149" s="176"/>
      <c r="X149" s="176"/>
    </row>
    <row r="150" spans="1:24" s="173" customFormat="1" ht="14.25">
      <c r="A150" s="174"/>
      <c r="B150" s="473" t="s">
        <v>849</v>
      </c>
      <c r="C150" s="473"/>
      <c r="D150" s="174"/>
      <c r="E150" s="140"/>
      <c r="F150" s="139"/>
      <c r="G150" s="139"/>
      <c r="H150" s="175"/>
      <c r="I150" s="175"/>
      <c r="J150" s="175"/>
      <c r="K150" s="175"/>
      <c r="L150" s="175"/>
      <c r="M150" s="175"/>
      <c r="N150" s="175"/>
      <c r="O150" s="175"/>
      <c r="P150" s="176"/>
      <c r="Q150" s="176"/>
      <c r="R150" s="176"/>
      <c r="S150" s="176"/>
      <c r="T150" s="176"/>
      <c r="U150" s="176"/>
      <c r="V150" s="176"/>
      <c r="W150" s="176"/>
      <c r="X150" s="176"/>
    </row>
    <row r="151" spans="1:24" s="173" customFormat="1" ht="12.75">
      <c r="A151" s="447">
        <v>1</v>
      </c>
      <c r="B151" s="231" t="s">
        <v>613</v>
      </c>
      <c r="C151" s="433" t="s">
        <v>732</v>
      </c>
      <c r="D151" s="431"/>
      <c r="E151" s="474">
        <v>5122338.52</v>
      </c>
      <c r="F151" s="476" t="s">
        <v>733</v>
      </c>
      <c r="G151" s="232" t="s">
        <v>616</v>
      </c>
      <c r="H151" s="227">
        <v>216000</v>
      </c>
      <c r="I151" s="227">
        <v>216000</v>
      </c>
      <c r="J151" s="227">
        <v>216000</v>
      </c>
      <c r="K151" s="227">
        <v>216000</v>
      </c>
      <c r="L151" s="278">
        <v>216000</v>
      </c>
      <c r="M151" s="278">
        <v>216000</v>
      </c>
      <c r="N151" s="278">
        <v>216000</v>
      </c>
      <c r="O151" s="278">
        <v>216000</v>
      </c>
      <c r="P151" s="279">
        <v>216000</v>
      </c>
      <c r="Q151" s="279">
        <v>216000</v>
      </c>
      <c r="R151" s="279">
        <v>0</v>
      </c>
      <c r="S151" s="279">
        <v>0</v>
      </c>
      <c r="T151" s="279">
        <v>0</v>
      </c>
      <c r="U151" s="279">
        <v>0</v>
      </c>
      <c r="V151" s="279">
        <v>0</v>
      </c>
      <c r="W151" s="279">
        <v>0</v>
      </c>
      <c r="X151" s="262">
        <f aca="true" t="shared" si="16" ref="X151:X158">SUM(H151:W151)</f>
        <v>2160000</v>
      </c>
    </row>
    <row r="152" spans="1:24" s="173" customFormat="1" ht="15" customHeight="1">
      <c r="A152" s="448"/>
      <c r="B152" s="234" t="s">
        <v>734</v>
      </c>
      <c r="C152" s="434"/>
      <c r="D152" s="432"/>
      <c r="E152" s="475"/>
      <c r="F152" s="477"/>
      <c r="G152" s="235">
        <v>0.005</v>
      </c>
      <c r="H152" s="228">
        <v>10785</v>
      </c>
      <c r="I152" s="228">
        <v>9690</v>
      </c>
      <c r="J152" s="228">
        <v>8595</v>
      </c>
      <c r="K152" s="228">
        <v>7520</v>
      </c>
      <c r="L152" s="280">
        <v>6405</v>
      </c>
      <c r="M152" s="280">
        <v>5310</v>
      </c>
      <c r="N152" s="280">
        <v>4215</v>
      </c>
      <c r="O152" s="280">
        <v>3130</v>
      </c>
      <c r="P152" s="281">
        <v>2025</v>
      </c>
      <c r="Q152" s="281">
        <v>930</v>
      </c>
      <c r="R152" s="281">
        <v>65</v>
      </c>
      <c r="S152" s="281">
        <v>0</v>
      </c>
      <c r="T152" s="281">
        <v>0</v>
      </c>
      <c r="U152" s="281">
        <v>0</v>
      </c>
      <c r="V152" s="281">
        <v>0</v>
      </c>
      <c r="W152" s="281">
        <v>0</v>
      </c>
      <c r="X152" s="263">
        <f t="shared" si="16"/>
        <v>58670</v>
      </c>
    </row>
    <row r="153" spans="1:24" s="173" customFormat="1" ht="12.75">
      <c r="A153" s="447">
        <v>2</v>
      </c>
      <c r="B153" s="231" t="s">
        <v>613</v>
      </c>
      <c r="C153" s="433" t="s">
        <v>735</v>
      </c>
      <c r="D153" s="431"/>
      <c r="E153" s="474">
        <v>522193.95</v>
      </c>
      <c r="F153" s="476" t="s">
        <v>736</v>
      </c>
      <c r="G153" s="232" t="s">
        <v>616</v>
      </c>
      <c r="H153" s="227"/>
      <c r="I153" s="227"/>
      <c r="J153" s="227">
        <v>10699.57</v>
      </c>
      <c r="K153" s="227">
        <v>32139.84</v>
      </c>
      <c r="L153" s="278">
        <v>32139.84</v>
      </c>
      <c r="M153" s="278">
        <v>32139.84</v>
      </c>
      <c r="N153" s="278">
        <v>32139.84</v>
      </c>
      <c r="O153" s="278">
        <v>32139.84</v>
      </c>
      <c r="P153" s="279">
        <v>32139.84</v>
      </c>
      <c r="Q153" s="279">
        <v>32061.39</v>
      </c>
      <c r="R153" s="279">
        <v>0</v>
      </c>
      <c r="S153" s="279">
        <v>0</v>
      </c>
      <c r="T153" s="279">
        <v>0</v>
      </c>
      <c r="U153" s="279">
        <v>0</v>
      </c>
      <c r="V153" s="279">
        <v>0</v>
      </c>
      <c r="W153" s="279">
        <v>0</v>
      </c>
      <c r="X153" s="262">
        <f t="shared" si="16"/>
        <v>235600</v>
      </c>
    </row>
    <row r="154" spans="1:24" s="173" customFormat="1" ht="12.75">
      <c r="A154" s="448"/>
      <c r="B154" s="234" t="s">
        <v>737</v>
      </c>
      <c r="C154" s="434"/>
      <c r="D154" s="432"/>
      <c r="E154" s="475"/>
      <c r="F154" s="477"/>
      <c r="G154" s="235">
        <v>0.005</v>
      </c>
      <c r="H154" s="228">
        <v>1195</v>
      </c>
      <c r="I154" s="228">
        <v>1195</v>
      </c>
      <c r="J154" s="228">
        <v>1195</v>
      </c>
      <c r="K154" s="228">
        <v>1120</v>
      </c>
      <c r="L154" s="280">
        <v>955</v>
      </c>
      <c r="M154" s="280">
        <v>790</v>
      </c>
      <c r="N154" s="280">
        <v>630</v>
      </c>
      <c r="O154" s="280">
        <v>465</v>
      </c>
      <c r="P154" s="281">
        <v>305</v>
      </c>
      <c r="Q154" s="281">
        <v>140</v>
      </c>
      <c r="R154" s="281">
        <v>10</v>
      </c>
      <c r="S154" s="281">
        <v>0</v>
      </c>
      <c r="T154" s="281">
        <v>0</v>
      </c>
      <c r="U154" s="281">
        <v>0</v>
      </c>
      <c r="V154" s="281">
        <v>0</v>
      </c>
      <c r="W154" s="281">
        <v>0</v>
      </c>
      <c r="X154" s="263">
        <f t="shared" si="16"/>
        <v>8000</v>
      </c>
    </row>
    <row r="155" spans="1:24" s="173" customFormat="1" ht="12.75">
      <c r="A155" s="447">
        <v>3</v>
      </c>
      <c r="B155" s="231" t="s">
        <v>613</v>
      </c>
      <c r="C155" s="433" t="s">
        <v>738</v>
      </c>
      <c r="D155" s="431"/>
      <c r="E155" s="474">
        <v>6033386</v>
      </c>
      <c r="F155" s="433" t="s">
        <v>739</v>
      </c>
      <c r="G155" s="232" t="s">
        <v>616</v>
      </c>
      <c r="H155" s="227"/>
      <c r="I155" s="227"/>
      <c r="J155" s="227">
        <v>221321</v>
      </c>
      <c r="K155" s="227">
        <v>221412</v>
      </c>
      <c r="L155" s="278">
        <v>221412</v>
      </c>
      <c r="M155" s="278">
        <v>221412</v>
      </c>
      <c r="N155" s="278">
        <v>221412</v>
      </c>
      <c r="O155" s="278">
        <v>221412</v>
      </c>
      <c r="P155" s="279">
        <v>221412</v>
      </c>
      <c r="Q155" s="279">
        <v>221412</v>
      </c>
      <c r="R155" s="279">
        <v>221412</v>
      </c>
      <c r="S155" s="279">
        <v>221412</v>
      </c>
      <c r="T155" s="279">
        <v>221412</v>
      </c>
      <c r="U155" s="279">
        <v>221412</v>
      </c>
      <c r="V155" s="279">
        <v>221412</v>
      </c>
      <c r="W155" s="279">
        <v>3155121</v>
      </c>
      <c r="X155" s="262">
        <f t="shared" si="16"/>
        <v>6033386</v>
      </c>
    </row>
    <row r="156" spans="1:24" s="173" customFormat="1" ht="12.75">
      <c r="A156" s="448"/>
      <c r="B156" s="234" t="s">
        <v>740</v>
      </c>
      <c r="C156" s="434"/>
      <c r="D156" s="432"/>
      <c r="E156" s="475"/>
      <c r="F156" s="434"/>
      <c r="G156" s="235">
        <v>0.01477</v>
      </c>
      <c r="H156" s="228">
        <v>90355</v>
      </c>
      <c r="I156" s="228">
        <v>90355</v>
      </c>
      <c r="J156" s="228">
        <v>89660</v>
      </c>
      <c r="K156" s="228">
        <v>86765</v>
      </c>
      <c r="L156" s="280">
        <v>83210</v>
      </c>
      <c r="M156" s="280">
        <v>79895</v>
      </c>
      <c r="N156" s="280">
        <v>76580</v>
      </c>
      <c r="O156" s="280">
        <v>73465</v>
      </c>
      <c r="P156" s="281">
        <v>69950</v>
      </c>
      <c r="Q156" s="281">
        <v>66635</v>
      </c>
      <c r="R156" s="281">
        <v>63320</v>
      </c>
      <c r="S156" s="281">
        <v>60170</v>
      </c>
      <c r="T156" s="281">
        <v>56685</v>
      </c>
      <c r="U156" s="281">
        <v>53370</v>
      </c>
      <c r="V156" s="281">
        <v>50055</v>
      </c>
      <c r="W156" s="281">
        <v>353470</v>
      </c>
      <c r="X156" s="263">
        <f t="shared" si="16"/>
        <v>1443940</v>
      </c>
    </row>
    <row r="157" spans="1:24" s="173" customFormat="1" ht="12.75" hidden="1">
      <c r="A157" s="449"/>
      <c r="B157" s="177"/>
      <c r="C157" s="451"/>
      <c r="D157" s="178"/>
      <c r="E157" s="465"/>
      <c r="F157" s="467"/>
      <c r="G157" s="179"/>
      <c r="H157" s="180"/>
      <c r="I157" s="180"/>
      <c r="J157" s="180"/>
      <c r="K157" s="180"/>
      <c r="L157" s="282"/>
      <c r="M157" s="282"/>
      <c r="N157" s="282"/>
      <c r="O157" s="282"/>
      <c r="P157" s="283"/>
      <c r="Q157" s="283"/>
      <c r="R157" s="283"/>
      <c r="S157" s="283"/>
      <c r="T157" s="284"/>
      <c r="U157" s="284"/>
      <c r="V157" s="284"/>
      <c r="W157" s="284"/>
      <c r="X157" s="285">
        <f t="shared" si="16"/>
        <v>0</v>
      </c>
    </row>
    <row r="158" spans="1:24" s="173" customFormat="1" ht="12.75" hidden="1">
      <c r="A158" s="450"/>
      <c r="B158" s="181"/>
      <c r="C158" s="452"/>
      <c r="D158" s="182"/>
      <c r="E158" s="466"/>
      <c r="F158" s="468"/>
      <c r="G158" s="183"/>
      <c r="H158" s="184"/>
      <c r="I158" s="184"/>
      <c r="J158" s="184"/>
      <c r="K158" s="184"/>
      <c r="L158" s="286"/>
      <c r="M158" s="286"/>
      <c r="N158" s="286"/>
      <c r="O158" s="286"/>
      <c r="P158" s="287"/>
      <c r="Q158" s="287"/>
      <c r="R158" s="287"/>
      <c r="S158" s="287"/>
      <c r="T158" s="288"/>
      <c r="U158" s="288"/>
      <c r="V158" s="288"/>
      <c r="W158" s="288"/>
      <c r="X158" s="285">
        <f t="shared" si="16"/>
        <v>0</v>
      </c>
    </row>
    <row r="159" spans="1:24" s="173" customFormat="1" ht="12.75" hidden="1">
      <c r="A159" s="449"/>
      <c r="B159" s="177"/>
      <c r="C159" s="451"/>
      <c r="D159" s="178"/>
      <c r="E159" s="465"/>
      <c r="F159" s="467"/>
      <c r="G159" s="179"/>
      <c r="H159" s="180"/>
      <c r="I159" s="180"/>
      <c r="J159" s="180"/>
      <c r="K159" s="180"/>
      <c r="L159" s="282"/>
      <c r="M159" s="282"/>
      <c r="N159" s="282"/>
      <c r="O159" s="282"/>
      <c r="P159" s="283"/>
      <c r="Q159" s="283"/>
      <c r="R159" s="283"/>
      <c r="S159" s="283"/>
      <c r="T159" s="284"/>
      <c r="U159" s="284"/>
      <c r="V159" s="284"/>
      <c r="W159" s="284"/>
      <c r="X159" s="285">
        <f>SUM(H159:W159)</f>
        <v>0</v>
      </c>
    </row>
    <row r="160" spans="1:24" s="173" customFormat="1" ht="12.75" hidden="1">
      <c r="A160" s="450"/>
      <c r="B160" s="181"/>
      <c r="C160" s="452"/>
      <c r="D160" s="182"/>
      <c r="E160" s="466"/>
      <c r="F160" s="468"/>
      <c r="G160" s="183"/>
      <c r="H160" s="184"/>
      <c r="I160" s="184"/>
      <c r="J160" s="184"/>
      <c r="K160" s="184"/>
      <c r="L160" s="286"/>
      <c r="M160" s="286"/>
      <c r="N160" s="286"/>
      <c r="O160" s="286"/>
      <c r="P160" s="287"/>
      <c r="Q160" s="287"/>
      <c r="R160" s="287"/>
      <c r="S160" s="287"/>
      <c r="T160" s="288"/>
      <c r="U160" s="288"/>
      <c r="V160" s="288"/>
      <c r="W160" s="288"/>
      <c r="X160" s="285">
        <f>SUM(H160:W160)</f>
        <v>0</v>
      </c>
    </row>
    <row r="161" spans="1:24" s="173" customFormat="1" ht="12.75">
      <c r="A161" s="143"/>
      <c r="B161" s="469" t="s">
        <v>789</v>
      </c>
      <c r="C161" s="469"/>
      <c r="D161" s="469"/>
      <c r="E161" s="469"/>
      <c r="F161" s="469"/>
      <c r="G161" s="469"/>
      <c r="H161" s="144">
        <f>H151+H153+H155+H157+H159</f>
        <v>216000</v>
      </c>
      <c r="I161" s="144">
        <f aca="true" t="shared" si="17" ref="I161:W162">I151+I153+I155+I157+I159</f>
        <v>216000</v>
      </c>
      <c r="J161" s="144">
        <f t="shared" si="17"/>
        <v>448020.57</v>
      </c>
      <c r="K161" s="144">
        <f t="shared" si="17"/>
        <v>469551.83999999997</v>
      </c>
      <c r="L161" s="270">
        <f t="shared" si="17"/>
        <v>469551.83999999997</v>
      </c>
      <c r="M161" s="270">
        <f t="shared" si="17"/>
        <v>469551.83999999997</v>
      </c>
      <c r="N161" s="270">
        <f t="shared" si="17"/>
        <v>469551.83999999997</v>
      </c>
      <c r="O161" s="270">
        <f t="shared" si="17"/>
        <v>469551.83999999997</v>
      </c>
      <c r="P161" s="270">
        <f t="shared" si="17"/>
        <v>469551.83999999997</v>
      </c>
      <c r="Q161" s="270">
        <f t="shared" si="17"/>
        <v>469473.39</v>
      </c>
      <c r="R161" s="270">
        <f t="shared" si="17"/>
        <v>221412</v>
      </c>
      <c r="S161" s="270">
        <f t="shared" si="17"/>
        <v>221412</v>
      </c>
      <c r="T161" s="270">
        <f t="shared" si="17"/>
        <v>221412</v>
      </c>
      <c r="U161" s="270">
        <f t="shared" si="17"/>
        <v>221412</v>
      </c>
      <c r="V161" s="270">
        <f t="shared" si="17"/>
        <v>221412</v>
      </c>
      <c r="W161" s="270">
        <f t="shared" si="17"/>
        <v>3155121</v>
      </c>
      <c r="X161" s="270">
        <f>X151+X153+X155+X157+X159</f>
        <v>8428986</v>
      </c>
    </row>
    <row r="162" spans="1:24" s="173" customFormat="1" ht="13.5" thickBot="1">
      <c r="A162" s="185"/>
      <c r="B162" s="470" t="s">
        <v>724</v>
      </c>
      <c r="C162" s="470"/>
      <c r="D162" s="470"/>
      <c r="E162" s="470"/>
      <c r="F162" s="470"/>
      <c r="G162" s="470"/>
      <c r="H162" s="146">
        <f>H152+H154+H156+H158+H160</f>
        <v>102335</v>
      </c>
      <c r="I162" s="146">
        <f t="shared" si="17"/>
        <v>101240</v>
      </c>
      <c r="J162" s="146">
        <f t="shared" si="17"/>
        <v>99450</v>
      </c>
      <c r="K162" s="146">
        <f t="shared" si="17"/>
        <v>95405</v>
      </c>
      <c r="L162" s="271">
        <f t="shared" si="17"/>
        <v>90570</v>
      </c>
      <c r="M162" s="271">
        <f t="shared" si="17"/>
        <v>85995</v>
      </c>
      <c r="N162" s="271">
        <f t="shared" si="17"/>
        <v>81425</v>
      </c>
      <c r="O162" s="271">
        <f t="shared" si="17"/>
        <v>77060</v>
      </c>
      <c r="P162" s="271">
        <f t="shared" si="17"/>
        <v>72280</v>
      </c>
      <c r="Q162" s="271">
        <f t="shared" si="17"/>
        <v>67705</v>
      </c>
      <c r="R162" s="271">
        <f t="shared" si="17"/>
        <v>63395</v>
      </c>
      <c r="S162" s="271">
        <f t="shared" si="17"/>
        <v>60170</v>
      </c>
      <c r="T162" s="271">
        <f t="shared" si="17"/>
        <v>56685</v>
      </c>
      <c r="U162" s="271">
        <f t="shared" si="17"/>
        <v>53370</v>
      </c>
      <c r="V162" s="271">
        <f t="shared" si="17"/>
        <v>50055</v>
      </c>
      <c r="W162" s="271">
        <f t="shared" si="17"/>
        <v>353470</v>
      </c>
      <c r="X162" s="271">
        <f>X152+X154+X156+X158+X160</f>
        <v>1510610</v>
      </c>
    </row>
    <row r="163" spans="1:24" s="173" customFormat="1" ht="13.5" thickTop="1">
      <c r="A163" s="186"/>
      <c r="B163" s="471" t="s">
        <v>741</v>
      </c>
      <c r="C163" s="471"/>
      <c r="D163" s="471"/>
      <c r="E163" s="471"/>
      <c r="F163" s="471"/>
      <c r="G163" s="471"/>
      <c r="H163" s="187">
        <f aca="true" t="shared" si="18" ref="H163:V163">SUM(H161:H162)</f>
        <v>318335</v>
      </c>
      <c r="I163" s="187">
        <f t="shared" si="18"/>
        <v>317240</v>
      </c>
      <c r="J163" s="187">
        <f t="shared" si="18"/>
        <v>547470.5700000001</v>
      </c>
      <c r="K163" s="187">
        <f t="shared" si="18"/>
        <v>564956.84</v>
      </c>
      <c r="L163" s="264">
        <f t="shared" si="18"/>
        <v>560121.84</v>
      </c>
      <c r="M163" s="289">
        <f t="shared" si="18"/>
        <v>555546.84</v>
      </c>
      <c r="N163" s="289">
        <f t="shared" si="18"/>
        <v>550976.84</v>
      </c>
      <c r="O163" s="289">
        <f t="shared" si="18"/>
        <v>546611.84</v>
      </c>
      <c r="P163" s="289">
        <f t="shared" si="18"/>
        <v>541831.84</v>
      </c>
      <c r="Q163" s="289">
        <f t="shared" si="18"/>
        <v>537178.39</v>
      </c>
      <c r="R163" s="289">
        <f t="shared" si="18"/>
        <v>284807</v>
      </c>
      <c r="S163" s="289">
        <f t="shared" si="18"/>
        <v>281582</v>
      </c>
      <c r="T163" s="289">
        <f t="shared" si="18"/>
        <v>278097</v>
      </c>
      <c r="U163" s="289">
        <f t="shared" si="18"/>
        <v>274782</v>
      </c>
      <c r="V163" s="289">
        <f t="shared" si="18"/>
        <v>271467</v>
      </c>
      <c r="W163" s="289">
        <f>SUM(W161:W162)</f>
        <v>3508591</v>
      </c>
      <c r="X163" s="289">
        <f>SUM(X161:X162)</f>
        <v>9939596</v>
      </c>
    </row>
    <row r="164" spans="1:24" s="173" customFormat="1" ht="12.75">
      <c r="A164" s="150"/>
      <c r="B164" s="444" t="s">
        <v>793</v>
      </c>
      <c r="C164" s="445"/>
      <c r="D164" s="446"/>
      <c r="E164" s="189">
        <f>E151+E153+E155</f>
        <v>11677918.469999999</v>
      </c>
      <c r="F164" s="190"/>
      <c r="G164" s="191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</row>
    <row r="165" spans="1:24" s="173" customFormat="1" ht="12.75" hidden="1">
      <c r="A165" s="191"/>
      <c r="B165" s="193"/>
      <c r="C165" s="190"/>
      <c r="D165" s="190"/>
      <c r="E165" s="472" t="s">
        <v>742</v>
      </c>
      <c r="F165" s="472"/>
      <c r="G165" s="47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</row>
    <row r="166" spans="1:24" s="173" customFormat="1" ht="12.75" hidden="1">
      <c r="A166" s="191"/>
      <c r="B166" s="193"/>
      <c r="C166" s="190"/>
      <c r="D166" s="190"/>
      <c r="E166" s="472" t="s">
        <v>729</v>
      </c>
      <c r="F166" s="472"/>
      <c r="G166" s="47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</row>
    <row r="167" spans="1:24" s="173" customFormat="1" ht="12.75">
      <c r="A167" s="150"/>
      <c r="B167" s="444" t="s">
        <v>791</v>
      </c>
      <c r="C167" s="445"/>
      <c r="D167" s="446"/>
      <c r="E167" s="194">
        <f>E139</f>
        <v>65797139</v>
      </c>
      <c r="F167" s="102"/>
      <c r="G167" s="10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</row>
    <row r="168" spans="13:23" ht="12.75" hidden="1">
      <c r="M168" s="166"/>
      <c r="N168" s="166"/>
      <c r="O168" s="166"/>
      <c r="P168" s="161"/>
      <c r="Q168" s="161"/>
      <c r="R168" s="161"/>
      <c r="S168" s="161"/>
      <c r="T168" s="161"/>
      <c r="U168" s="161"/>
      <c r="V168" s="161"/>
      <c r="W168" s="161"/>
    </row>
    <row r="169" spans="13:23" ht="12.75" hidden="1">
      <c r="M169" s="166"/>
      <c r="N169" s="166"/>
      <c r="O169" s="166"/>
      <c r="P169" s="161"/>
      <c r="Q169" s="161"/>
      <c r="R169" s="161"/>
      <c r="S169" s="161"/>
      <c r="T169" s="161"/>
      <c r="U169" s="161"/>
      <c r="V169" s="161"/>
      <c r="W169" s="161"/>
    </row>
    <row r="170" spans="13:23" ht="12.75">
      <c r="M170" s="166"/>
      <c r="N170" s="166"/>
      <c r="O170" s="166"/>
      <c r="P170" s="161"/>
      <c r="Q170" s="161"/>
      <c r="R170" s="161"/>
      <c r="S170" s="161"/>
      <c r="T170" s="161"/>
      <c r="U170" s="161"/>
      <c r="V170" s="161"/>
      <c r="W170" s="161"/>
    </row>
    <row r="171" spans="1:24" s="196" customFormat="1" ht="15" customHeight="1">
      <c r="A171" s="101"/>
      <c r="B171" s="473" t="s">
        <v>848</v>
      </c>
      <c r="C171" s="473"/>
      <c r="D171" s="195"/>
      <c r="E171" s="100"/>
      <c r="F171" s="101"/>
      <c r="G171" s="101"/>
      <c r="H171" s="100"/>
      <c r="I171" s="100"/>
      <c r="J171" s="100"/>
      <c r="K171" s="100"/>
      <c r="L171" s="100"/>
      <c r="M171" s="100"/>
      <c r="N171" s="100"/>
      <c r="O171" s="100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1:24" s="196" customFormat="1" ht="12.75">
      <c r="A172" s="143"/>
      <c r="B172" s="461" t="s">
        <v>789</v>
      </c>
      <c r="C172" s="461"/>
      <c r="D172" s="461"/>
      <c r="E172" s="461"/>
      <c r="F172" s="461"/>
      <c r="G172" s="461"/>
      <c r="H172" s="144">
        <f aca="true" t="shared" si="19" ref="H172:X172">H133+H161</f>
        <v>6589187.22</v>
      </c>
      <c r="I172" s="144">
        <f t="shared" si="19"/>
        <v>4975907.319999999</v>
      </c>
      <c r="J172" s="144">
        <f t="shared" si="19"/>
        <v>4939615.3</v>
      </c>
      <c r="K172" s="144">
        <f t="shared" si="19"/>
        <v>5022299.27</v>
      </c>
      <c r="L172" s="270">
        <f t="shared" si="19"/>
        <v>5211195.84</v>
      </c>
      <c r="M172" s="270">
        <f t="shared" si="19"/>
        <v>5292329.84</v>
      </c>
      <c r="N172" s="270">
        <f t="shared" si="19"/>
        <v>4169847.84</v>
      </c>
      <c r="O172" s="270">
        <f t="shared" si="19"/>
        <v>3958056.9699999997</v>
      </c>
      <c r="P172" s="270">
        <f t="shared" si="19"/>
        <v>4027131.84</v>
      </c>
      <c r="Q172" s="270">
        <f t="shared" si="19"/>
        <v>4201100.24</v>
      </c>
      <c r="R172" s="270">
        <f t="shared" si="19"/>
        <v>4075674</v>
      </c>
      <c r="S172" s="270">
        <f t="shared" si="19"/>
        <v>4069392</v>
      </c>
      <c r="T172" s="270">
        <f t="shared" si="19"/>
        <v>4047340</v>
      </c>
      <c r="U172" s="270">
        <f t="shared" si="19"/>
        <v>3590940</v>
      </c>
      <c r="V172" s="270">
        <f t="shared" si="19"/>
        <v>3271886.76</v>
      </c>
      <c r="W172" s="270">
        <f t="shared" si="19"/>
        <v>36333203.01</v>
      </c>
      <c r="X172" s="270">
        <f t="shared" si="19"/>
        <v>103775107.45</v>
      </c>
    </row>
    <row r="173" spans="1:24" s="196" customFormat="1" ht="13.5" thickBot="1">
      <c r="A173" s="185"/>
      <c r="B173" s="462" t="s">
        <v>724</v>
      </c>
      <c r="C173" s="462"/>
      <c r="D173" s="462"/>
      <c r="E173" s="462"/>
      <c r="F173" s="462"/>
      <c r="G173" s="462"/>
      <c r="H173" s="146">
        <f aca="true" t="shared" si="20" ref="H173:X173">H134+H162</f>
        <v>310467.01</v>
      </c>
      <c r="I173" s="146">
        <f t="shared" si="20"/>
        <v>410505</v>
      </c>
      <c r="J173" s="146">
        <f t="shared" si="20"/>
        <v>527195</v>
      </c>
      <c r="K173" s="146">
        <f t="shared" si="20"/>
        <v>501420</v>
      </c>
      <c r="L173" s="271">
        <f t="shared" si="20"/>
        <v>472045</v>
      </c>
      <c r="M173" s="271">
        <f t="shared" si="20"/>
        <v>443195</v>
      </c>
      <c r="N173" s="271">
        <f t="shared" si="20"/>
        <v>415195</v>
      </c>
      <c r="O173" s="271">
        <f t="shared" si="20"/>
        <v>392670</v>
      </c>
      <c r="P173" s="271">
        <f t="shared" si="20"/>
        <v>368950</v>
      </c>
      <c r="Q173" s="271">
        <f t="shared" si="20"/>
        <v>345990</v>
      </c>
      <c r="R173" s="271">
        <f t="shared" si="20"/>
        <v>322475</v>
      </c>
      <c r="S173" s="271">
        <f t="shared" si="20"/>
        <v>300190</v>
      </c>
      <c r="T173" s="271">
        <f t="shared" si="20"/>
        <v>276355</v>
      </c>
      <c r="U173" s="271">
        <f t="shared" si="20"/>
        <v>253910</v>
      </c>
      <c r="V173" s="271">
        <f t="shared" si="20"/>
        <v>233475</v>
      </c>
      <c r="W173" s="271">
        <f t="shared" si="20"/>
        <v>1487485</v>
      </c>
      <c r="X173" s="271">
        <f t="shared" si="20"/>
        <v>7061522.010000001</v>
      </c>
    </row>
    <row r="174" spans="1:24" s="196" customFormat="1" ht="13.5" thickTop="1">
      <c r="A174" s="292"/>
      <c r="B174" s="463" t="s">
        <v>794</v>
      </c>
      <c r="C174" s="463"/>
      <c r="D174" s="463"/>
      <c r="E174" s="463"/>
      <c r="F174" s="463"/>
      <c r="G174" s="463"/>
      <c r="H174" s="188">
        <f>SUM(H172:H173)</f>
        <v>6899654.2299999995</v>
      </c>
      <c r="I174" s="188">
        <f aca="true" t="shared" si="21" ref="I174:X174">SUM(I172:I173)</f>
        <v>5386412.319999999</v>
      </c>
      <c r="J174" s="188">
        <f t="shared" si="21"/>
        <v>5466810.3</v>
      </c>
      <c r="K174" s="188">
        <f t="shared" si="21"/>
        <v>5523719.27</v>
      </c>
      <c r="L174" s="289">
        <f t="shared" si="21"/>
        <v>5683240.84</v>
      </c>
      <c r="M174" s="289">
        <f t="shared" si="21"/>
        <v>5735524.84</v>
      </c>
      <c r="N174" s="289">
        <f t="shared" si="21"/>
        <v>4585042.84</v>
      </c>
      <c r="O174" s="289">
        <f t="shared" si="21"/>
        <v>4350726.97</v>
      </c>
      <c r="P174" s="289">
        <f t="shared" si="21"/>
        <v>4396081.84</v>
      </c>
      <c r="Q174" s="289">
        <f t="shared" si="21"/>
        <v>4547090.24</v>
      </c>
      <c r="R174" s="289">
        <f t="shared" si="21"/>
        <v>4398149</v>
      </c>
      <c r="S174" s="289">
        <f t="shared" si="21"/>
        <v>4369582</v>
      </c>
      <c r="T174" s="289">
        <f t="shared" si="21"/>
        <v>4323695</v>
      </c>
      <c r="U174" s="289">
        <f t="shared" si="21"/>
        <v>3844850</v>
      </c>
      <c r="V174" s="289">
        <f t="shared" si="21"/>
        <v>3505361.76</v>
      </c>
      <c r="W174" s="289">
        <f t="shared" si="21"/>
        <v>37820688.01</v>
      </c>
      <c r="X174" s="289">
        <f t="shared" si="21"/>
        <v>110836629.46000001</v>
      </c>
    </row>
    <row r="175" spans="1:24" s="196" customFormat="1" ht="12.75">
      <c r="A175" s="150"/>
      <c r="B175" s="464" t="s">
        <v>726</v>
      </c>
      <c r="C175" s="464"/>
      <c r="D175" s="464"/>
      <c r="E175" s="464"/>
      <c r="F175" s="464"/>
      <c r="G175" s="197" t="s">
        <v>727</v>
      </c>
      <c r="H175" s="152">
        <f aca="true" t="shared" si="22" ref="H175:W175">SUM(H174/$E$167)</f>
        <v>0.10486252646942597</v>
      </c>
      <c r="I175" s="152">
        <f t="shared" si="22"/>
        <v>0.08186392906840523</v>
      </c>
      <c r="J175" s="152">
        <f t="shared" si="22"/>
        <v>0.0830858359966077</v>
      </c>
      <c r="K175" s="152">
        <f t="shared" si="22"/>
        <v>0.08395075156687283</v>
      </c>
      <c r="L175" s="274">
        <f t="shared" si="22"/>
        <v>0.08637519695195257</v>
      </c>
      <c r="M175" s="274">
        <f t="shared" si="22"/>
        <v>0.08716982116806021</v>
      </c>
      <c r="N175" s="274">
        <f t="shared" si="22"/>
        <v>0.06968453202805672</v>
      </c>
      <c r="O175" s="274">
        <f t="shared" si="22"/>
        <v>0.06612334572784388</v>
      </c>
      <c r="P175" s="290">
        <f t="shared" si="22"/>
        <v>0.06681265943797343</v>
      </c>
      <c r="Q175" s="290">
        <f t="shared" si="22"/>
        <v>0.0691077197140745</v>
      </c>
      <c r="R175" s="290">
        <f t="shared" si="22"/>
        <v>0.06684407660947081</v>
      </c>
      <c r="S175" s="290">
        <f t="shared" si="22"/>
        <v>0.06640990879557848</v>
      </c>
      <c r="T175" s="290">
        <f t="shared" si="22"/>
        <v>0.06571250765173847</v>
      </c>
      <c r="U175" s="290">
        <f t="shared" si="22"/>
        <v>0.0584349115848335</v>
      </c>
      <c r="V175" s="290">
        <f t="shared" si="22"/>
        <v>0.05327529149861668</v>
      </c>
      <c r="W175" s="290">
        <f t="shared" si="22"/>
        <v>0.5748074853224241</v>
      </c>
      <c r="X175" s="265" t="s">
        <v>847</v>
      </c>
    </row>
    <row r="176" spans="1:24" s="196" customFormat="1" ht="12.75">
      <c r="A176" s="150"/>
      <c r="B176" s="464" t="s">
        <v>728</v>
      </c>
      <c r="C176" s="464"/>
      <c r="D176" s="464"/>
      <c r="E176" s="464"/>
      <c r="F176" s="464"/>
      <c r="G176" s="197" t="s">
        <v>727</v>
      </c>
      <c r="H176" s="198">
        <f aca="true" t="shared" si="23" ref="H176:W176">SUM((H174-H140-H165)/$E$167)</f>
        <v>0.09032630917280461</v>
      </c>
      <c r="I176" s="198">
        <f t="shared" si="23"/>
        <v>0.08186392906840523</v>
      </c>
      <c r="J176" s="198">
        <f t="shared" si="23"/>
        <v>0.0830858359966077</v>
      </c>
      <c r="K176" s="198">
        <f t="shared" si="23"/>
        <v>0.08395075156687283</v>
      </c>
      <c r="L176" s="291">
        <f t="shared" si="23"/>
        <v>0.08637519695195257</v>
      </c>
      <c r="M176" s="291">
        <f t="shared" si="23"/>
        <v>0.08716982116806021</v>
      </c>
      <c r="N176" s="291">
        <f t="shared" si="23"/>
        <v>0.06968453202805672</v>
      </c>
      <c r="O176" s="291">
        <f t="shared" si="23"/>
        <v>0.06612334572784388</v>
      </c>
      <c r="P176" s="291">
        <f t="shared" si="23"/>
        <v>0.06681265943797343</v>
      </c>
      <c r="Q176" s="291">
        <f t="shared" si="23"/>
        <v>0.0691077197140745</v>
      </c>
      <c r="R176" s="291">
        <f t="shared" si="23"/>
        <v>0.06684407660947081</v>
      </c>
      <c r="S176" s="291">
        <f t="shared" si="23"/>
        <v>0.06640990879557848</v>
      </c>
      <c r="T176" s="291">
        <f t="shared" si="23"/>
        <v>0.06571250765173847</v>
      </c>
      <c r="U176" s="291">
        <f t="shared" si="23"/>
        <v>0.0584349115848335</v>
      </c>
      <c r="V176" s="291">
        <f t="shared" si="23"/>
        <v>0.05327529149861668</v>
      </c>
      <c r="W176" s="291">
        <f t="shared" si="23"/>
        <v>0.5748074853224241</v>
      </c>
      <c r="X176" s="266" t="s">
        <v>847</v>
      </c>
    </row>
    <row r="177" spans="1:24" s="196" customFormat="1" ht="12.75">
      <c r="A177" s="101"/>
      <c r="B177" s="99"/>
      <c r="C177" s="100"/>
      <c r="D177" s="100"/>
      <c r="E177" s="100"/>
      <c r="F177" s="101"/>
      <c r="G177" s="101"/>
      <c r="H177" s="100"/>
      <c r="I177" s="100"/>
      <c r="J177" s="100"/>
      <c r="K177" s="100"/>
      <c r="L177" s="100"/>
      <c r="M177" s="100"/>
      <c r="N177" s="100"/>
      <c r="O177" s="100"/>
      <c r="P177" s="101"/>
      <c r="Q177" s="101"/>
      <c r="R177" s="101"/>
      <c r="S177" s="199"/>
      <c r="T177" s="199"/>
      <c r="U177" s="199"/>
      <c r="V177" s="199"/>
      <c r="W177" s="199"/>
      <c r="X177" s="200"/>
    </row>
    <row r="178" spans="1:24" s="205" customFormat="1" ht="15.75" hidden="1">
      <c r="A178" s="201"/>
      <c r="B178" s="202"/>
      <c r="C178" s="203"/>
      <c r="D178" s="203"/>
      <c r="E178" s="203"/>
      <c r="F178" s="201"/>
      <c r="G178" s="201"/>
      <c r="H178" s="203"/>
      <c r="I178" s="203"/>
      <c r="J178" s="203"/>
      <c r="K178" s="204"/>
      <c r="L178" s="204"/>
      <c r="M178" s="204"/>
      <c r="V178" s="105"/>
      <c r="W178" s="105"/>
      <c r="X178" s="206"/>
    </row>
    <row r="179" spans="1:24" s="173" customFormat="1" ht="15.75">
      <c r="A179" s="139"/>
      <c r="B179" s="103"/>
      <c r="C179" s="140"/>
      <c r="D179" s="140"/>
      <c r="E179" s="140"/>
      <c r="F179" s="139"/>
      <c r="G179" s="139"/>
      <c r="H179" s="140"/>
      <c r="I179" s="140"/>
      <c r="J179" s="140"/>
      <c r="K179" s="140"/>
      <c r="L179" s="140"/>
      <c r="M179" s="140"/>
      <c r="N179" s="208" t="s">
        <v>152</v>
      </c>
      <c r="O179" s="203"/>
      <c r="P179" s="201"/>
      <c r="Q179" s="201"/>
      <c r="R179" s="201"/>
      <c r="S179" s="201"/>
      <c r="T179" s="201"/>
      <c r="U179" s="209" t="s">
        <v>153</v>
      </c>
      <c r="V179" s="139"/>
      <c r="W179" s="139"/>
      <c r="X179" s="139"/>
    </row>
    <row r="180" spans="1:24" s="173" customFormat="1" ht="12.75">
      <c r="A180" s="139"/>
      <c r="B180" s="103"/>
      <c r="C180" s="140"/>
      <c r="D180" s="140"/>
      <c r="E180" s="140"/>
      <c r="F180" s="139"/>
      <c r="G180" s="139"/>
      <c r="H180" s="140"/>
      <c r="I180" s="207"/>
      <c r="J180" s="207"/>
      <c r="K180" s="207"/>
      <c r="L180" s="140"/>
      <c r="M180" s="140"/>
      <c r="V180" s="102"/>
      <c r="W180" s="102"/>
      <c r="X180" s="139"/>
    </row>
    <row r="181" spans="1:24" s="173" customFormat="1" ht="12.75">
      <c r="A181" s="139"/>
      <c r="B181" s="103"/>
      <c r="C181" s="140"/>
      <c r="D181" s="140"/>
      <c r="E181" s="140"/>
      <c r="F181" s="139"/>
      <c r="G181" s="139"/>
      <c r="H181" s="164"/>
      <c r="I181" s="210"/>
      <c r="J181" s="211"/>
      <c r="K181" s="211"/>
      <c r="L181" s="211"/>
      <c r="M181" s="211"/>
      <c r="N181" s="211"/>
      <c r="O181" s="211"/>
      <c r="P181" s="212"/>
      <c r="Q181" s="212"/>
      <c r="R181" s="212"/>
      <c r="S181" s="213"/>
      <c r="T181" s="213"/>
      <c r="U181" s="213"/>
      <c r="V181" s="213"/>
      <c r="W181" s="213"/>
      <c r="X181" s="139"/>
    </row>
    <row r="182" spans="1:24" s="173" customFormat="1" ht="12.75">
      <c r="A182" s="139"/>
      <c r="B182" s="103"/>
      <c r="C182" s="101"/>
      <c r="D182" s="101"/>
      <c r="E182" s="101"/>
      <c r="F182" s="101"/>
      <c r="G182" s="213"/>
      <c r="H182" s="140"/>
      <c r="I182" s="100"/>
      <c r="J182" s="214"/>
      <c r="K182" s="214"/>
      <c r="L182" s="214"/>
      <c r="M182" s="214"/>
      <c r="N182" s="214"/>
      <c r="O182" s="214"/>
      <c r="P182" s="213"/>
      <c r="Q182" s="213"/>
      <c r="R182" s="213"/>
      <c r="S182" s="139"/>
      <c r="T182" s="139"/>
      <c r="U182" s="139"/>
      <c r="V182" s="139"/>
      <c r="W182" s="139"/>
      <c r="X182" s="139"/>
    </row>
    <row r="183" spans="1:24" s="173" customFormat="1" ht="12.75">
      <c r="A183" s="139"/>
      <c r="B183" s="101"/>
      <c r="C183" s="101"/>
      <c r="D183" s="101"/>
      <c r="E183" s="101"/>
      <c r="F183" s="101"/>
      <c r="G183" s="213"/>
      <c r="H183" s="215"/>
      <c r="I183" s="140"/>
      <c r="J183" s="140"/>
      <c r="K183" s="140"/>
      <c r="L183" s="140"/>
      <c r="M183" s="140"/>
      <c r="N183" s="140"/>
      <c r="O183" s="140"/>
      <c r="P183" s="139"/>
      <c r="Q183" s="139"/>
      <c r="R183" s="139"/>
      <c r="S183" s="139"/>
      <c r="T183" s="139"/>
      <c r="U183" s="139"/>
      <c r="V183" s="139"/>
      <c r="W183" s="139"/>
      <c r="X183" s="139"/>
    </row>
    <row r="184" spans="2:7" ht="12.75">
      <c r="B184" s="101"/>
      <c r="C184" s="101"/>
      <c r="D184" s="101"/>
      <c r="E184" s="101"/>
      <c r="F184" s="101"/>
      <c r="G184" s="213"/>
    </row>
    <row r="185" spans="2:7" ht="12.75">
      <c r="B185" s="101"/>
      <c r="C185" s="101"/>
      <c r="D185" s="101"/>
      <c r="E185" s="101"/>
      <c r="F185" s="101"/>
      <c r="G185" s="213"/>
    </row>
    <row r="186" spans="3:7" ht="12.75">
      <c r="C186" s="101"/>
      <c r="D186" s="101"/>
      <c r="E186" s="101"/>
      <c r="F186" s="101"/>
      <c r="G186" s="213"/>
    </row>
    <row r="187" spans="3:7" ht="12.75">
      <c r="C187" s="101"/>
      <c r="D187" s="101"/>
      <c r="E187" s="101"/>
      <c r="F187" s="101"/>
      <c r="G187" s="213"/>
    </row>
  </sheetData>
  <sheetProtection/>
  <mergeCells count="370">
    <mergeCell ref="A3:G3"/>
    <mergeCell ref="A5:A6"/>
    <mergeCell ref="B5:B6"/>
    <mergeCell ref="C5:C6"/>
    <mergeCell ref="D5:D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B133:G133"/>
    <mergeCell ref="A115:A116"/>
    <mergeCell ref="C115:C116"/>
    <mergeCell ref="D115:D116"/>
    <mergeCell ref="E115:E116"/>
    <mergeCell ref="E141:G141"/>
    <mergeCell ref="B134:G134"/>
    <mergeCell ref="B135:G135"/>
    <mergeCell ref="B136:F136"/>
    <mergeCell ref="B137:F137"/>
    <mergeCell ref="B138:D138"/>
    <mergeCell ref="B139:D139"/>
    <mergeCell ref="E142:G142"/>
    <mergeCell ref="E143:G143"/>
    <mergeCell ref="C145:G145"/>
    <mergeCell ref="C146:G146"/>
    <mergeCell ref="A151:A152"/>
    <mergeCell ref="C151:C152"/>
    <mergeCell ref="E151:E152"/>
    <mergeCell ref="F151:F152"/>
    <mergeCell ref="B150:C150"/>
    <mergeCell ref="E159:E160"/>
    <mergeCell ref="F159:F160"/>
    <mergeCell ref="C153:C154"/>
    <mergeCell ref="E153:E154"/>
    <mergeCell ref="F153:F154"/>
    <mergeCell ref="A155:A156"/>
    <mergeCell ref="C155:C156"/>
    <mergeCell ref="E155:E156"/>
    <mergeCell ref="F155:F156"/>
    <mergeCell ref="D153:D154"/>
    <mergeCell ref="B176:F176"/>
    <mergeCell ref="B161:G161"/>
    <mergeCell ref="B162:G162"/>
    <mergeCell ref="B163:G163"/>
    <mergeCell ref="B164:D164"/>
    <mergeCell ref="E165:G165"/>
    <mergeCell ref="E166:G166"/>
    <mergeCell ref="B171:C171"/>
    <mergeCell ref="A119:A120"/>
    <mergeCell ref="C119:C120"/>
    <mergeCell ref="B172:G172"/>
    <mergeCell ref="B173:G173"/>
    <mergeCell ref="B174:G174"/>
    <mergeCell ref="B175:F175"/>
    <mergeCell ref="A157:A158"/>
    <mergeCell ref="C157:C158"/>
    <mergeCell ref="E157:E158"/>
    <mergeCell ref="F157:F158"/>
    <mergeCell ref="F115:F116"/>
    <mergeCell ref="A117:A118"/>
    <mergeCell ref="C117:C118"/>
    <mergeCell ref="D117:D118"/>
    <mergeCell ref="E117:E118"/>
    <mergeCell ref="F117:F11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B167:D167"/>
    <mergeCell ref="A153:A154"/>
    <mergeCell ref="A131:A132"/>
    <mergeCell ref="C131:C132"/>
    <mergeCell ref="A159:A160"/>
    <mergeCell ref="C159:C160"/>
    <mergeCell ref="D155:D156"/>
    <mergeCell ref="D119:D120"/>
    <mergeCell ref="E119:E120"/>
    <mergeCell ref="F119:F120"/>
    <mergeCell ref="D151:D152"/>
    <mergeCell ref="E129:E130"/>
    <mergeCell ref="F129:F130"/>
    <mergeCell ref="D131:D132"/>
    <mergeCell ref="E131:E132"/>
    <mergeCell ref="F131:F132"/>
    <mergeCell ref="E140:G14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3" manualBreakCount="3">
    <brk id="44" max="255" man="1"/>
    <brk id="78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Kristīne Pēce</dc:creator>
  <cp:keywords/>
  <dc:description/>
  <cp:lastModifiedBy>Baiba Jēkabsone</cp:lastModifiedBy>
  <cp:lastPrinted>2021-12-23T06:30:36Z</cp:lastPrinted>
  <dcterms:created xsi:type="dcterms:W3CDTF">2021-02-15T14:27:02Z</dcterms:created>
  <dcterms:modified xsi:type="dcterms:W3CDTF">2021-12-23T06:36:31Z</dcterms:modified>
  <cp:category/>
  <cp:version/>
  <cp:contentType/>
  <cp:contentStatus/>
</cp:coreProperties>
</file>