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75" windowWidth="11100" windowHeight="4335" tabRatio="724" activeTab="7"/>
  </bookViews>
  <sheets>
    <sheet name="1.pielikums" sheetId="10" r:id="rId1"/>
    <sheet name="2.pielikums" sheetId="7" r:id="rId2"/>
    <sheet name="3.pielikums" sheetId="5" r:id="rId3"/>
    <sheet name="4.pielikums" sheetId="37" r:id="rId4"/>
    <sheet name="5.pielikums" sheetId="39" r:id="rId5"/>
    <sheet name="6.pielikums" sheetId="23" r:id="rId6"/>
    <sheet name="7.pielikums" sheetId="38" r:id="rId7"/>
    <sheet name="8.pielikums" sheetId="36" r:id="rId8"/>
  </sheets>
  <definedNames>
    <definedName name="_xlnm.Print_Titles" localSheetId="0">'1.pielikums'!$8:$8</definedName>
    <definedName name="_xlnm.Print_Titles" localSheetId="2">'3.pielikums'!$7:$8</definedName>
    <definedName name="_xlnm.Print_Titles" localSheetId="3">'4.pielikums'!$7:$7</definedName>
    <definedName name="_xlnm.Print_Titles" localSheetId="4">'5.pielikums'!$A:$A,'5.pielikums'!$5:$6</definedName>
    <definedName name="_xlnm.Print_Titles" localSheetId="6">'7.pielikums'!$7:$7</definedName>
  </definedNames>
  <calcPr calcId="145621"/>
</workbook>
</file>

<file path=xl/calcChain.xml><?xml version="1.0" encoding="utf-8"?>
<calcChain xmlns="http://schemas.openxmlformats.org/spreadsheetml/2006/main">
  <c r="C731" i="37" l="1"/>
  <c r="C724" i="37"/>
  <c r="C712" i="37"/>
  <c r="C709" i="37"/>
  <c r="C224" i="37"/>
  <c r="C223" i="37"/>
  <c r="C194" i="37"/>
  <c r="C192" i="37"/>
  <c r="D188" i="5"/>
  <c r="D62" i="5"/>
  <c r="W157" i="39" l="1"/>
  <c r="W156" i="39"/>
  <c r="W119" i="39"/>
  <c r="W118" i="39"/>
  <c r="E121" i="39"/>
  <c r="E145" i="39"/>
  <c r="W143" i="39"/>
  <c r="V143" i="39"/>
  <c r="U143" i="39"/>
  <c r="T143" i="39"/>
  <c r="S143" i="39"/>
  <c r="R143" i="39"/>
  <c r="Q143" i="39"/>
  <c r="P143" i="39"/>
  <c r="O143" i="39"/>
  <c r="N143" i="39"/>
  <c r="M143" i="39"/>
  <c r="L143" i="39"/>
  <c r="K143" i="39"/>
  <c r="J143" i="39"/>
  <c r="I143" i="39"/>
  <c r="H143" i="39"/>
  <c r="W142" i="39"/>
  <c r="W144" i="39" s="1"/>
  <c r="V142" i="39"/>
  <c r="U142" i="39"/>
  <c r="U144" i="39" s="1"/>
  <c r="T142" i="39"/>
  <c r="T144" i="39" s="1"/>
  <c r="S142" i="39"/>
  <c r="S144" i="39" s="1"/>
  <c r="R142" i="39"/>
  <c r="R144" i="39" s="1"/>
  <c r="Q142" i="39"/>
  <c r="P142" i="39"/>
  <c r="P144" i="39" s="1"/>
  <c r="O142" i="39"/>
  <c r="O144" i="39" s="1"/>
  <c r="N142" i="39"/>
  <c r="M142" i="39"/>
  <c r="M144" i="39" s="1"/>
  <c r="L142" i="39"/>
  <c r="L144" i="39" s="1"/>
  <c r="K142" i="39"/>
  <c r="K144" i="39" s="1"/>
  <c r="J142" i="39"/>
  <c r="J144" i="39" s="1"/>
  <c r="I142" i="39"/>
  <c r="I144" i="39" s="1"/>
  <c r="H142" i="39"/>
  <c r="H144" i="39" s="1"/>
  <c r="X141" i="39"/>
  <c r="X140" i="39"/>
  <c r="X139" i="39"/>
  <c r="X138" i="39"/>
  <c r="X137" i="39"/>
  <c r="X136" i="39"/>
  <c r="X135" i="39"/>
  <c r="X134" i="39"/>
  <c r="X133" i="39"/>
  <c r="X132" i="39"/>
  <c r="H123" i="39"/>
  <c r="E148" i="39"/>
  <c r="W116" i="39"/>
  <c r="V116" i="39"/>
  <c r="V154" i="39" s="1"/>
  <c r="U116" i="39"/>
  <c r="T116" i="39"/>
  <c r="S116" i="39"/>
  <c r="R116" i="39"/>
  <c r="R154" i="39" s="1"/>
  <c r="Q116" i="39"/>
  <c r="P116" i="39"/>
  <c r="O116" i="39"/>
  <c r="N116" i="39"/>
  <c r="N154" i="39" s="1"/>
  <c r="M116" i="39"/>
  <c r="L116" i="39"/>
  <c r="K116" i="39"/>
  <c r="J116" i="39"/>
  <c r="J154" i="39" s="1"/>
  <c r="V115" i="39"/>
  <c r="S115" i="39"/>
  <c r="R115" i="39"/>
  <c r="Q115" i="39"/>
  <c r="P115" i="39"/>
  <c r="O115" i="39"/>
  <c r="O126" i="39" s="1"/>
  <c r="N115" i="39"/>
  <c r="M115" i="39"/>
  <c r="L115" i="39"/>
  <c r="K115" i="39"/>
  <c r="J115" i="39"/>
  <c r="X114" i="39"/>
  <c r="X113" i="39"/>
  <c r="X112" i="39"/>
  <c r="X111" i="39"/>
  <c r="X110" i="39"/>
  <c r="X109" i="39"/>
  <c r="X108" i="39"/>
  <c r="X107" i="39"/>
  <c r="X106" i="39"/>
  <c r="X105" i="39"/>
  <c r="X104" i="39"/>
  <c r="X103" i="39"/>
  <c r="X102" i="39"/>
  <c r="X101" i="39"/>
  <c r="X100" i="39"/>
  <c r="X99" i="39"/>
  <c r="X98" i="39"/>
  <c r="X97" i="39"/>
  <c r="E97" i="39"/>
  <c r="X96" i="39"/>
  <c r="X95" i="39"/>
  <c r="X94" i="39"/>
  <c r="G94" i="39"/>
  <c r="X93" i="39"/>
  <c r="E93" i="39"/>
  <c r="X92" i="39"/>
  <c r="G92" i="39"/>
  <c r="X91" i="39"/>
  <c r="E91" i="39"/>
  <c r="X90" i="39"/>
  <c r="G90" i="39"/>
  <c r="X89" i="39"/>
  <c r="X88" i="39"/>
  <c r="G88" i="39"/>
  <c r="X87" i="39"/>
  <c r="X86" i="39"/>
  <c r="G86" i="39"/>
  <c r="X85" i="39"/>
  <c r="X84" i="39"/>
  <c r="G84" i="39"/>
  <c r="X83" i="39"/>
  <c r="H82" i="39"/>
  <c r="X82" i="39" s="1"/>
  <c r="G82" i="39"/>
  <c r="X81" i="39"/>
  <c r="X80" i="39"/>
  <c r="X79" i="39"/>
  <c r="E79" i="39"/>
  <c r="X78" i="39"/>
  <c r="X77" i="39"/>
  <c r="E77" i="39"/>
  <c r="X76" i="39"/>
  <c r="X75" i="39"/>
  <c r="E75" i="39"/>
  <c r="X74" i="39"/>
  <c r="X73" i="39"/>
  <c r="E73" i="39"/>
  <c r="X72" i="39"/>
  <c r="X71" i="39"/>
  <c r="X70" i="39"/>
  <c r="X69" i="39"/>
  <c r="E69" i="39"/>
  <c r="X68" i="39"/>
  <c r="U67" i="39"/>
  <c r="X67" i="39" s="1"/>
  <c r="E67" i="39"/>
  <c r="H66" i="39"/>
  <c r="X66" i="39" s="1"/>
  <c r="X65" i="39"/>
  <c r="H64" i="39"/>
  <c r="X64" i="39" s="1"/>
  <c r="X63" i="39"/>
  <c r="X62" i="39"/>
  <c r="X61" i="39"/>
  <c r="X60" i="39"/>
  <c r="X59" i="39"/>
  <c r="X58" i="39"/>
  <c r="H57" i="39"/>
  <c r="H115" i="39" s="1"/>
  <c r="E57" i="39"/>
  <c r="X56" i="39"/>
  <c r="X55" i="39"/>
  <c r="E55" i="39"/>
  <c r="X54" i="39"/>
  <c r="W53" i="39"/>
  <c r="X53" i="39" s="1"/>
  <c r="E53" i="39"/>
  <c r="X52" i="39"/>
  <c r="X51" i="39"/>
  <c r="E51" i="39"/>
  <c r="X50" i="39"/>
  <c r="X49" i="39"/>
  <c r="E49" i="39"/>
  <c r="X48" i="39"/>
  <c r="X47" i="39"/>
  <c r="X46" i="39"/>
  <c r="X45" i="39"/>
  <c r="E45" i="39"/>
  <c r="X44" i="39"/>
  <c r="W43" i="39"/>
  <c r="X43" i="39" s="1"/>
  <c r="X42" i="39"/>
  <c r="X41" i="39"/>
  <c r="E41" i="39"/>
  <c r="X40" i="39"/>
  <c r="X39" i="39"/>
  <c r="E39" i="39"/>
  <c r="X38" i="39"/>
  <c r="W37" i="39"/>
  <c r="X37" i="39" s="1"/>
  <c r="T37" i="39"/>
  <c r="E37" i="39"/>
  <c r="I36" i="39"/>
  <c r="I116" i="39" s="1"/>
  <c r="H36" i="39"/>
  <c r="I35" i="39"/>
  <c r="X35" i="39" s="1"/>
  <c r="E35" i="39"/>
  <c r="H34" i="39"/>
  <c r="X34" i="39" s="1"/>
  <c r="W33" i="39"/>
  <c r="W115" i="39" s="1"/>
  <c r="W153" i="39" s="1"/>
  <c r="E33" i="39"/>
  <c r="X32" i="39"/>
  <c r="W31" i="39"/>
  <c r="X31" i="39" s="1"/>
  <c r="X30" i="39"/>
  <c r="T29" i="39"/>
  <c r="X29" i="39" s="1"/>
  <c r="X28" i="39"/>
  <c r="X27" i="39"/>
  <c r="X26" i="39"/>
  <c r="X25" i="39"/>
  <c r="X24" i="39"/>
  <c r="T23" i="39"/>
  <c r="X23" i="39" s="1"/>
  <c r="X22" i="39"/>
  <c r="X21" i="39"/>
  <c r="E21" i="39"/>
  <c r="X20" i="39"/>
  <c r="X19" i="39"/>
  <c r="E19" i="39"/>
  <c r="H18" i="39"/>
  <c r="X18" i="39" s="1"/>
  <c r="T17" i="39"/>
  <c r="X17" i="39" s="1"/>
  <c r="X16" i="39"/>
  <c r="T15" i="39"/>
  <c r="E15" i="39"/>
  <c r="X14" i="39"/>
  <c r="X13" i="39"/>
  <c r="X12" i="39"/>
  <c r="X11" i="39"/>
  <c r="X10" i="39"/>
  <c r="X9" i="39"/>
  <c r="X8" i="39"/>
  <c r="X7" i="39"/>
  <c r="I6" i="39"/>
  <c r="J6" i="39" s="1"/>
  <c r="K6" i="39" s="1"/>
  <c r="L6" i="39" s="1"/>
  <c r="M6" i="39" s="1"/>
  <c r="N6" i="39" s="1"/>
  <c r="O6" i="39" s="1"/>
  <c r="P6" i="39" s="1"/>
  <c r="Q6" i="39" s="1"/>
  <c r="R6" i="39" s="1"/>
  <c r="S6" i="39" s="1"/>
  <c r="T6" i="39" s="1"/>
  <c r="U6" i="39" s="1"/>
  <c r="U115" i="39" l="1"/>
  <c r="K154" i="39"/>
  <c r="S154" i="39"/>
  <c r="E120" i="39"/>
  <c r="X57" i="39"/>
  <c r="H116" i="39"/>
  <c r="H154" i="39" s="1"/>
  <c r="H122" i="39"/>
  <c r="H153" i="39"/>
  <c r="H155" i="39" s="1"/>
  <c r="H157" i="39" s="1"/>
  <c r="L154" i="39"/>
  <c r="T154" i="39"/>
  <c r="L117" i="39"/>
  <c r="N126" i="39"/>
  <c r="K117" i="39"/>
  <c r="K119" i="39" s="1"/>
  <c r="S117" i="39"/>
  <c r="S118" i="39" s="1"/>
  <c r="Q153" i="39"/>
  <c r="L153" i="39"/>
  <c r="L155" i="39" s="1"/>
  <c r="P154" i="39"/>
  <c r="U153" i="39"/>
  <c r="N144" i="39"/>
  <c r="X143" i="39"/>
  <c r="Q144" i="39"/>
  <c r="V144" i="39"/>
  <c r="I154" i="39"/>
  <c r="M154" i="39"/>
  <c r="Q154" i="39"/>
  <c r="U154" i="39"/>
  <c r="X142" i="39"/>
  <c r="O117" i="39"/>
  <c r="O119" i="39" s="1"/>
  <c r="P117" i="39"/>
  <c r="P119" i="39" s="1"/>
  <c r="O154" i="39"/>
  <c r="W154" i="39"/>
  <c r="W155" i="39" s="1"/>
  <c r="T115" i="39"/>
  <c r="U126" i="39" s="1"/>
  <c r="X15" i="39"/>
  <c r="X33" i="39"/>
  <c r="I115" i="39"/>
  <c r="V117" i="39"/>
  <c r="V153" i="39"/>
  <c r="V155" i="39" s="1"/>
  <c r="L118" i="39"/>
  <c r="L119" i="39"/>
  <c r="V126" i="39"/>
  <c r="M126" i="39"/>
  <c r="M117" i="39"/>
  <c r="N117" i="39"/>
  <c r="N153" i="39"/>
  <c r="N155" i="39" s="1"/>
  <c r="R117" i="39"/>
  <c r="S127" i="39" s="1"/>
  <c r="R153" i="39"/>
  <c r="R155" i="39" s="1"/>
  <c r="W117" i="39"/>
  <c r="R126" i="39"/>
  <c r="L127" i="39"/>
  <c r="M153" i="39"/>
  <c r="U117" i="39"/>
  <c r="K118" i="39"/>
  <c r="Q126" i="39"/>
  <c r="Q117" i="39"/>
  <c r="J117" i="39"/>
  <c r="K127" i="39" s="1"/>
  <c r="J153" i="39"/>
  <c r="J155" i="39" s="1"/>
  <c r="X36" i="39"/>
  <c r="X116" i="39" s="1"/>
  <c r="K153" i="39"/>
  <c r="K155" i="39" s="1"/>
  <c r="O153" i="39"/>
  <c r="S153" i="39"/>
  <c r="S155" i="39" s="1"/>
  <c r="H117" i="39"/>
  <c r="K126" i="39"/>
  <c r="S126" i="39"/>
  <c r="P153" i="39"/>
  <c r="P155" i="39" s="1"/>
  <c r="L126" i="39"/>
  <c r="P126" i="39"/>
  <c r="O127" i="39" l="1"/>
  <c r="O155" i="39"/>
  <c r="S119" i="39"/>
  <c r="Q155" i="39"/>
  <c r="Q156" i="39" s="1"/>
  <c r="P127" i="39"/>
  <c r="O118" i="39"/>
  <c r="X115" i="39"/>
  <c r="X153" i="39" s="1"/>
  <c r="H156" i="39"/>
  <c r="X144" i="39"/>
  <c r="X154" i="39"/>
  <c r="U155" i="39"/>
  <c r="M155" i="39"/>
  <c r="M157" i="39" s="1"/>
  <c r="P118" i="39"/>
  <c r="S156" i="39"/>
  <c r="S157" i="39"/>
  <c r="P157" i="39"/>
  <c r="P156" i="39"/>
  <c r="R157" i="39"/>
  <c r="R156" i="39"/>
  <c r="V157" i="39"/>
  <c r="V156" i="39"/>
  <c r="K156" i="39"/>
  <c r="K157" i="39"/>
  <c r="R127" i="39"/>
  <c r="R118" i="39"/>
  <c r="R119" i="39"/>
  <c r="L157" i="39"/>
  <c r="L156" i="39"/>
  <c r="V127" i="39"/>
  <c r="V119" i="39"/>
  <c r="V118" i="39"/>
  <c r="T126" i="39"/>
  <c r="T153" i="39"/>
  <c r="T155" i="39" s="1"/>
  <c r="T117" i="39"/>
  <c r="U127" i="39" s="1"/>
  <c r="J157" i="39"/>
  <c r="J156" i="39"/>
  <c r="N127" i="39"/>
  <c r="N119" i="39"/>
  <c r="N118" i="39"/>
  <c r="O156" i="39"/>
  <c r="O157" i="39"/>
  <c r="J118" i="39"/>
  <c r="J119" i="39"/>
  <c r="M119" i="39"/>
  <c r="M127" i="39"/>
  <c r="M118" i="39"/>
  <c r="H118" i="39"/>
  <c r="H119" i="39"/>
  <c r="Q119" i="39"/>
  <c r="Q127" i="39"/>
  <c r="Q118" i="39"/>
  <c r="U119" i="39"/>
  <c r="U118" i="39"/>
  <c r="N157" i="39"/>
  <c r="N156" i="39"/>
  <c r="I126" i="39"/>
  <c r="I117" i="39"/>
  <c r="J127" i="39" s="1"/>
  <c r="I153" i="39"/>
  <c r="I155" i="39" s="1"/>
  <c r="J126" i="39"/>
  <c r="Q157" i="39" l="1"/>
  <c r="X117" i="39"/>
  <c r="X155" i="39"/>
  <c r="M156" i="39"/>
  <c r="U157" i="39"/>
  <c r="U156" i="39"/>
  <c r="T157" i="39"/>
  <c r="T156" i="39"/>
  <c r="I156" i="39"/>
  <c r="I157" i="39"/>
  <c r="I119" i="39"/>
  <c r="I127" i="39"/>
  <c r="I118" i="39"/>
  <c r="T118" i="39"/>
  <c r="T119" i="39"/>
  <c r="T127" i="39"/>
  <c r="D163" i="5" l="1"/>
  <c r="D110" i="5" l="1"/>
  <c r="D75" i="5"/>
  <c r="D33" i="5"/>
  <c r="D12" i="5"/>
  <c r="C49" i="10" l="1"/>
  <c r="D22" i="23" l="1"/>
  <c r="C22" i="23"/>
  <c r="E24" i="23"/>
  <c r="C157" i="5"/>
  <c r="C148" i="5"/>
  <c r="E94" i="5"/>
  <c r="F94" i="5"/>
  <c r="G94" i="5"/>
  <c r="H94" i="5"/>
  <c r="D94" i="5"/>
  <c r="E89" i="5"/>
  <c r="F89" i="5"/>
  <c r="G89" i="5"/>
  <c r="H89" i="5"/>
  <c r="D89" i="5"/>
  <c r="E64" i="5"/>
  <c r="F64" i="5"/>
  <c r="G64" i="5"/>
  <c r="H64" i="5"/>
  <c r="D64" i="5"/>
  <c r="E49" i="5"/>
  <c r="F49" i="5"/>
  <c r="G49" i="5"/>
  <c r="H49" i="5"/>
  <c r="D49" i="5"/>
  <c r="E35" i="5"/>
  <c r="F35" i="5"/>
  <c r="G35" i="5"/>
  <c r="H35" i="5"/>
  <c r="D35" i="5"/>
  <c r="C37" i="5"/>
  <c r="H11" i="5"/>
  <c r="G11" i="5"/>
  <c r="F11" i="5"/>
  <c r="E11" i="5"/>
  <c r="D11" i="5"/>
  <c r="H155" i="5"/>
  <c r="H131" i="5"/>
  <c r="H130" i="5"/>
  <c r="H127" i="5"/>
  <c r="H121" i="5"/>
  <c r="H120" i="5"/>
  <c r="H116" i="5"/>
  <c r="H132" i="5"/>
  <c r="F132" i="5"/>
  <c r="E132" i="5"/>
  <c r="D132" i="5"/>
  <c r="D60" i="5"/>
  <c r="H40" i="5"/>
  <c r="D134" i="5"/>
  <c r="D117" i="5"/>
  <c r="C50" i="5"/>
  <c r="D47" i="5"/>
  <c r="D46" i="5"/>
  <c r="D42" i="5"/>
  <c r="C49" i="5" l="1"/>
  <c r="E44" i="5"/>
  <c r="F44" i="5"/>
  <c r="G44" i="5"/>
  <c r="H44" i="5"/>
  <c r="D44" i="5"/>
  <c r="C47" i="5"/>
  <c r="E32" i="5"/>
  <c r="F32" i="5"/>
  <c r="G32" i="5"/>
  <c r="H32" i="5"/>
  <c r="D32" i="5"/>
  <c r="C34" i="5"/>
  <c r="C32" i="5" l="1"/>
  <c r="C188" i="5" l="1"/>
  <c r="E26" i="5"/>
  <c r="F26" i="5"/>
  <c r="G26" i="5"/>
  <c r="H26" i="5"/>
  <c r="D26" i="5"/>
  <c r="C17" i="10"/>
  <c r="C11" i="10"/>
  <c r="D18" i="23" l="1"/>
  <c r="E20" i="23"/>
  <c r="C10" i="36" l="1"/>
  <c r="E16" i="36"/>
  <c r="D16" i="36"/>
  <c r="C16" i="36"/>
  <c r="E10" i="36"/>
  <c r="D10" i="36"/>
  <c r="E8" i="36"/>
  <c r="D8" i="36"/>
  <c r="C8" i="36"/>
  <c r="D26" i="23" l="1"/>
  <c r="C26" i="23"/>
  <c r="C18" i="23"/>
  <c r="E18" i="23" s="1"/>
  <c r="E17" i="23"/>
  <c r="E19" i="23"/>
  <c r="E21" i="23"/>
  <c r="E23" i="23"/>
  <c r="E25" i="23"/>
  <c r="E27" i="23"/>
  <c r="E28" i="23"/>
  <c r="D16" i="23"/>
  <c r="C16" i="23"/>
  <c r="E26" i="23" l="1"/>
  <c r="C29" i="23"/>
  <c r="D29" i="23"/>
  <c r="E22" i="23"/>
  <c r="E16" i="23"/>
  <c r="D61" i="5"/>
  <c r="E29" i="23" l="1"/>
  <c r="E22" i="5" l="1"/>
  <c r="F22" i="5"/>
  <c r="G22" i="5"/>
  <c r="H22" i="5"/>
  <c r="D22" i="5"/>
  <c r="C23" i="5"/>
  <c r="E61" i="5"/>
  <c r="F61" i="5"/>
  <c r="G61" i="5"/>
  <c r="H61" i="5"/>
  <c r="C62" i="5"/>
  <c r="E150" i="5"/>
  <c r="F150" i="5"/>
  <c r="G150" i="5"/>
  <c r="H150" i="5"/>
  <c r="D150" i="5"/>
  <c r="E147" i="5"/>
  <c r="F147" i="5"/>
  <c r="G147" i="5"/>
  <c r="H147" i="5"/>
  <c r="D147" i="5"/>
  <c r="G129" i="5"/>
  <c r="D119" i="5"/>
  <c r="C125" i="5"/>
  <c r="D115" i="5"/>
  <c r="C43" i="5"/>
  <c r="C147" i="5" l="1"/>
  <c r="C61" i="5"/>
  <c r="C150" i="5"/>
  <c r="C56" i="10" l="1"/>
  <c r="C45" i="10"/>
  <c r="D39" i="5" l="1"/>
  <c r="H27" i="7" l="1"/>
  <c r="G27" i="7"/>
  <c r="F27" i="7"/>
  <c r="E27" i="7"/>
  <c r="D27" i="7"/>
  <c r="C179" i="5"/>
  <c r="C178" i="5"/>
  <c r="C163" i="5"/>
  <c r="C162" i="5"/>
  <c r="C96" i="5"/>
  <c r="E70" i="5" l="1"/>
  <c r="F70" i="5"/>
  <c r="G70" i="5"/>
  <c r="H70" i="5"/>
  <c r="D70" i="5"/>
  <c r="C72" i="5"/>
  <c r="C46" i="5"/>
  <c r="C53" i="5"/>
  <c r="C65" i="5"/>
  <c r="C63" i="5"/>
  <c r="C172" i="5"/>
  <c r="C171" i="5"/>
  <c r="C170" i="5"/>
  <c r="E166" i="5"/>
  <c r="F166" i="5"/>
  <c r="G166" i="5"/>
  <c r="H166" i="5"/>
  <c r="D166" i="5"/>
  <c r="C167" i="5"/>
  <c r="E164" i="5"/>
  <c r="F164" i="5"/>
  <c r="G164" i="5"/>
  <c r="H164" i="5"/>
  <c r="D164" i="5"/>
  <c r="C165" i="5"/>
  <c r="F129" i="5"/>
  <c r="E129" i="5"/>
  <c r="D129" i="5"/>
  <c r="H129" i="5"/>
  <c r="C71" i="5"/>
  <c r="E68" i="5"/>
  <c r="F68" i="5"/>
  <c r="G68" i="5"/>
  <c r="H68" i="5"/>
  <c r="D68" i="5"/>
  <c r="C69" i="5"/>
  <c r="E59" i="5"/>
  <c r="F59" i="5"/>
  <c r="G59" i="5"/>
  <c r="H59" i="5"/>
  <c r="D59" i="5"/>
  <c r="C60" i="5"/>
  <c r="E29" i="5"/>
  <c r="F29" i="5"/>
  <c r="G29" i="5"/>
  <c r="H29" i="5"/>
  <c r="D29" i="5"/>
  <c r="C30" i="5"/>
  <c r="C36" i="5"/>
  <c r="E24" i="5"/>
  <c r="F24" i="5"/>
  <c r="G24" i="5"/>
  <c r="H24" i="5"/>
  <c r="D24" i="5"/>
  <c r="C129" i="5" l="1"/>
  <c r="C24" i="5"/>
  <c r="C76" i="10" l="1"/>
  <c r="C70" i="10"/>
  <c r="C65" i="10"/>
  <c r="C63" i="10"/>
  <c r="C41" i="10"/>
  <c r="C39" i="10"/>
  <c r="C38" i="10" s="1"/>
  <c r="C22" i="10"/>
  <c r="C48" i="10"/>
  <c r="C35" i="10"/>
  <c r="C34" i="10" s="1"/>
  <c r="C60" i="10" l="1"/>
  <c r="C59" i="10" s="1"/>
  <c r="D182" i="5"/>
  <c r="D180" i="5" l="1"/>
  <c r="E138" i="5" l="1"/>
  <c r="F138" i="5"/>
  <c r="G138" i="5"/>
  <c r="H138" i="5"/>
  <c r="D138" i="5"/>
  <c r="C142" i="5"/>
  <c r="C134" i="5"/>
  <c r="E126" i="5"/>
  <c r="F126" i="5"/>
  <c r="G126" i="5"/>
  <c r="H126" i="5"/>
  <c r="D126" i="5"/>
  <c r="E119" i="5"/>
  <c r="F119" i="5"/>
  <c r="G119" i="5"/>
  <c r="H119" i="5"/>
  <c r="C117" i="5"/>
  <c r="C87" i="5"/>
  <c r="E81" i="5"/>
  <c r="F81" i="5"/>
  <c r="G81" i="5"/>
  <c r="H81" i="5"/>
  <c r="D81" i="5"/>
  <c r="C48" i="5"/>
  <c r="C119" i="5" l="1"/>
  <c r="C44" i="5"/>
  <c r="C126" i="5"/>
  <c r="C89" i="5"/>
  <c r="H168" i="5" l="1"/>
  <c r="C54" i="5" l="1"/>
  <c r="C122" i="5" l="1"/>
  <c r="C121" i="5"/>
  <c r="C120" i="5"/>
  <c r="E73" i="5" l="1"/>
  <c r="F73" i="5"/>
  <c r="G73" i="5"/>
  <c r="H73" i="5"/>
  <c r="D73" i="5"/>
  <c r="C80" i="5"/>
  <c r="E19" i="5" l="1"/>
  <c r="F19" i="5"/>
  <c r="G19" i="5"/>
  <c r="H19" i="5"/>
  <c r="D19" i="5"/>
  <c r="C19" i="5" l="1"/>
  <c r="C21" i="5"/>
  <c r="C79" i="5"/>
  <c r="C26" i="10" l="1"/>
  <c r="E10" i="23" l="1"/>
  <c r="C156" i="5" l="1"/>
  <c r="C141" i="5"/>
  <c r="E182" i="5" l="1"/>
  <c r="F182" i="5"/>
  <c r="F180" i="5" s="1"/>
  <c r="G182" i="5"/>
  <c r="G180" i="5" s="1"/>
  <c r="H182" i="5"/>
  <c r="H180" i="5" s="1"/>
  <c r="D21" i="7"/>
  <c r="E26" i="7"/>
  <c r="F26" i="7"/>
  <c r="G26" i="7"/>
  <c r="H26" i="7"/>
  <c r="D26" i="7"/>
  <c r="E25" i="7"/>
  <c r="F25" i="7"/>
  <c r="G25" i="7"/>
  <c r="H25" i="7"/>
  <c r="D25" i="7"/>
  <c r="C187" i="5"/>
  <c r="C186" i="5"/>
  <c r="H23" i="7"/>
  <c r="E23" i="7"/>
  <c r="F23" i="7"/>
  <c r="G23" i="7"/>
  <c r="E180" i="5" l="1"/>
  <c r="C180" i="5" s="1"/>
  <c r="C182" i="5"/>
  <c r="C26" i="7"/>
  <c r="C25" i="7"/>
  <c r="C27" i="7" l="1"/>
  <c r="C123" i="5"/>
  <c r="C101" i="5"/>
  <c r="C28" i="5"/>
  <c r="C18" i="5"/>
  <c r="C139" i="5"/>
  <c r="D51" i="5"/>
  <c r="D38" i="5" s="1"/>
  <c r="C47" i="10"/>
  <c r="C152" i="5"/>
  <c r="E97" i="5"/>
  <c r="C95" i="5"/>
  <c r="C14" i="5"/>
  <c r="C13" i="5"/>
  <c r="D176" i="5"/>
  <c r="C98" i="5"/>
  <c r="D168" i="5"/>
  <c r="D158" i="5"/>
  <c r="C177" i="5"/>
  <c r="C131" i="5"/>
  <c r="C116" i="5"/>
  <c r="E115" i="5"/>
  <c r="F115" i="5"/>
  <c r="G115" i="5"/>
  <c r="C78" i="10"/>
  <c r="C52" i="10"/>
  <c r="C13" i="10"/>
  <c r="C10" i="10" s="1"/>
  <c r="F97" i="5"/>
  <c r="G97" i="5"/>
  <c r="H97" i="5"/>
  <c r="D97" i="5"/>
  <c r="C145" i="5"/>
  <c r="C66" i="5"/>
  <c r="D143" i="5"/>
  <c r="E51" i="5"/>
  <c r="F51" i="5"/>
  <c r="G51" i="5"/>
  <c r="H51" i="5"/>
  <c r="E39" i="5"/>
  <c r="F39" i="5"/>
  <c r="G39" i="5"/>
  <c r="H39" i="5"/>
  <c r="C42" i="5"/>
  <c r="D31" i="5"/>
  <c r="C27" i="5"/>
  <c r="E158" i="5"/>
  <c r="E161" i="5"/>
  <c r="E168" i="5"/>
  <c r="E176" i="5"/>
  <c r="F158" i="5"/>
  <c r="F161" i="5"/>
  <c r="F168" i="5"/>
  <c r="F176" i="5"/>
  <c r="G158" i="5"/>
  <c r="G161" i="5"/>
  <c r="G168" i="5"/>
  <c r="G176" i="5"/>
  <c r="H158" i="5"/>
  <c r="H161" i="5"/>
  <c r="D102" i="5"/>
  <c r="D106" i="5"/>
  <c r="D109" i="5"/>
  <c r="D15" i="5"/>
  <c r="D10" i="5" s="1"/>
  <c r="D135" i="5"/>
  <c r="D56" i="5"/>
  <c r="D55" i="5" s="1"/>
  <c r="D15" i="7"/>
  <c r="E15" i="5"/>
  <c r="E10" i="5" s="1"/>
  <c r="E56" i="5"/>
  <c r="E67" i="5"/>
  <c r="E14" i="7" s="1"/>
  <c r="E99" i="5"/>
  <c r="E102" i="5"/>
  <c r="E106" i="5"/>
  <c r="E109" i="5"/>
  <c r="E135" i="5"/>
  <c r="E143" i="5"/>
  <c r="E15" i="7"/>
  <c r="F15" i="5"/>
  <c r="F10" i="5" s="1"/>
  <c r="F56" i="5"/>
  <c r="F67" i="5"/>
  <c r="F14" i="7" s="1"/>
  <c r="F99" i="5"/>
  <c r="F102" i="5"/>
  <c r="F106" i="5"/>
  <c r="F109" i="5"/>
  <c r="F135" i="5"/>
  <c r="F143" i="5"/>
  <c r="F15" i="7"/>
  <c r="G15" i="5"/>
  <c r="G10" i="5" s="1"/>
  <c r="G135" i="5"/>
  <c r="G143" i="5"/>
  <c r="G56" i="5"/>
  <c r="G67" i="5"/>
  <c r="G14" i="7" s="1"/>
  <c r="G99" i="5"/>
  <c r="G102" i="5"/>
  <c r="G106" i="5"/>
  <c r="G109" i="5"/>
  <c r="G15" i="7"/>
  <c r="H143" i="5"/>
  <c r="H135" i="5"/>
  <c r="H15" i="5"/>
  <c r="H10" i="5" s="1"/>
  <c r="H56" i="5"/>
  <c r="H67" i="5"/>
  <c r="H14" i="7" s="1"/>
  <c r="H99" i="5"/>
  <c r="H102" i="5"/>
  <c r="H106" i="5"/>
  <c r="H109" i="5"/>
  <c r="H15" i="7"/>
  <c r="F21" i="7"/>
  <c r="H21" i="7"/>
  <c r="C133" i="5"/>
  <c r="C124" i="5"/>
  <c r="C86" i="5"/>
  <c r="C82" i="5"/>
  <c r="C83" i="5"/>
  <c r="C84" i="5"/>
  <c r="C85" i="5"/>
  <c r="C22" i="5"/>
  <c r="C175" i="5"/>
  <c r="C104" i="5"/>
  <c r="C78" i="5"/>
  <c r="D23" i="7"/>
  <c r="C23" i="7" s="1"/>
  <c r="D20" i="7"/>
  <c r="D19" i="7" s="1"/>
  <c r="F20" i="7"/>
  <c r="H20" i="7"/>
  <c r="E20" i="7"/>
  <c r="G20" i="7"/>
  <c r="C41" i="5"/>
  <c r="C146" i="5"/>
  <c r="C184" i="5"/>
  <c r="C16" i="5"/>
  <c r="C17" i="5"/>
  <c r="H24" i="7"/>
  <c r="E24" i="7"/>
  <c r="F24" i="7"/>
  <c r="G24" i="7"/>
  <c r="D24" i="7"/>
  <c r="E22" i="7"/>
  <c r="F22" i="7"/>
  <c r="G22" i="7"/>
  <c r="H22" i="7"/>
  <c r="D22" i="7"/>
  <c r="C136" i="5"/>
  <c r="C137" i="5"/>
  <c r="C111" i="5"/>
  <c r="C112" i="5"/>
  <c r="C113" i="5"/>
  <c r="C105" i="5"/>
  <c r="C100" i="5"/>
  <c r="C103" i="5"/>
  <c r="C127" i="5"/>
  <c r="C164" i="5"/>
  <c r="C20" i="5"/>
  <c r="C25" i="5"/>
  <c r="C183" i="5"/>
  <c r="C77" i="5"/>
  <c r="C68" i="5"/>
  <c r="C45" i="5"/>
  <c r="C144" i="5"/>
  <c r="C130" i="5"/>
  <c r="C140" i="5"/>
  <c r="C169" i="5"/>
  <c r="C173" i="5"/>
  <c r="C174" i="5"/>
  <c r="C159" i="5"/>
  <c r="C160" i="5"/>
  <c r="C151" i="5"/>
  <c r="C153" i="5"/>
  <c r="C154" i="5"/>
  <c r="C166" i="5"/>
  <c r="C185" i="5"/>
  <c r="C33" i="5"/>
  <c r="C52" i="5"/>
  <c r="C57" i="5"/>
  <c r="C58" i="5"/>
  <c r="C59" i="5"/>
  <c r="C70" i="5"/>
  <c r="C74" i="5"/>
  <c r="C75" i="5"/>
  <c r="C76" i="5"/>
  <c r="C90" i="5"/>
  <c r="C91" i="5"/>
  <c r="C92" i="5"/>
  <c r="C107" i="5"/>
  <c r="C108" i="5"/>
  <c r="C110" i="5"/>
  <c r="C128" i="5"/>
  <c r="C181" i="5"/>
  <c r="D161" i="5"/>
  <c r="H176" i="5"/>
  <c r="H115" i="5"/>
  <c r="C155" i="5"/>
  <c r="C12" i="5"/>
  <c r="C40" i="5"/>
  <c r="D99" i="5"/>
  <c r="G21" i="7"/>
  <c r="C29" i="5"/>
  <c r="C44" i="10" l="1"/>
  <c r="E55" i="5"/>
  <c r="E13" i="7" s="1"/>
  <c r="C39" i="5"/>
  <c r="H19" i="7"/>
  <c r="H55" i="5"/>
  <c r="H13" i="7" s="1"/>
  <c r="F19" i="7"/>
  <c r="G55" i="5"/>
  <c r="G13" i="7" s="1"/>
  <c r="F55" i="5"/>
  <c r="F13" i="7" s="1"/>
  <c r="G19" i="7"/>
  <c r="F38" i="5"/>
  <c r="F12" i="7" s="1"/>
  <c r="F10" i="7"/>
  <c r="E10" i="7"/>
  <c r="G38" i="5"/>
  <c r="G12" i="7" s="1"/>
  <c r="H31" i="5"/>
  <c r="H11" i="7" s="1"/>
  <c r="G31" i="5"/>
  <c r="G11" i="7" s="1"/>
  <c r="F31" i="5"/>
  <c r="F11" i="7" s="1"/>
  <c r="E31" i="5"/>
  <c r="E11" i="7" s="1"/>
  <c r="E38" i="5"/>
  <c r="E12" i="7" s="1"/>
  <c r="H38" i="5"/>
  <c r="H12" i="7" s="1"/>
  <c r="C81" i="5"/>
  <c r="C55" i="10"/>
  <c r="C54" i="10" s="1"/>
  <c r="C64" i="5"/>
  <c r="F93" i="5"/>
  <c r="C168" i="5"/>
  <c r="C15" i="5"/>
  <c r="C135" i="5"/>
  <c r="C99" i="5"/>
  <c r="C106" i="5"/>
  <c r="C24" i="7"/>
  <c r="E149" i="5"/>
  <c r="E18" i="7" s="1"/>
  <c r="D149" i="5"/>
  <c r="D18" i="7" s="1"/>
  <c r="F118" i="5"/>
  <c r="H118" i="5"/>
  <c r="H114" i="5" s="1"/>
  <c r="C15" i="7"/>
  <c r="D93" i="5"/>
  <c r="D88" i="5" s="1"/>
  <c r="F149" i="5"/>
  <c r="F18" i="7" s="1"/>
  <c r="C138" i="5"/>
  <c r="G149" i="5"/>
  <c r="G18" i="7" s="1"/>
  <c r="H149" i="5"/>
  <c r="H18" i="7" s="1"/>
  <c r="C161" i="5"/>
  <c r="C143" i="5"/>
  <c r="C109" i="5"/>
  <c r="C115" i="5"/>
  <c r="C176" i="5"/>
  <c r="C94" i="5"/>
  <c r="E93" i="5"/>
  <c r="C22" i="7"/>
  <c r="C20" i="7"/>
  <c r="G93" i="5"/>
  <c r="C26" i="5"/>
  <c r="C51" i="5"/>
  <c r="C21" i="10"/>
  <c r="C20" i="10" s="1"/>
  <c r="D11" i="7"/>
  <c r="C11" i="5"/>
  <c r="C73" i="5"/>
  <c r="D67" i="5"/>
  <c r="C158" i="5"/>
  <c r="G118" i="5"/>
  <c r="E21" i="7"/>
  <c r="E19" i="7" s="1"/>
  <c r="C102" i="5"/>
  <c r="C35" i="5"/>
  <c r="E118" i="5"/>
  <c r="H93" i="5"/>
  <c r="C132" i="5"/>
  <c r="C56" i="5"/>
  <c r="C97" i="5"/>
  <c r="G88" i="5" l="1"/>
  <c r="G16" i="7" s="1"/>
  <c r="H88" i="5"/>
  <c r="H16" i="7" s="1"/>
  <c r="E88" i="5"/>
  <c r="E16" i="7" s="1"/>
  <c r="F88" i="5"/>
  <c r="F114" i="5"/>
  <c r="F17" i="7" s="1"/>
  <c r="E114" i="5"/>
  <c r="E17" i="7" s="1"/>
  <c r="G114" i="5"/>
  <c r="G17" i="7" s="1"/>
  <c r="C38" i="5"/>
  <c r="C31" i="5"/>
  <c r="C11" i="7"/>
  <c r="C10" i="5"/>
  <c r="G10" i="7"/>
  <c r="C55" i="5"/>
  <c r="H17" i="7"/>
  <c r="C21" i="7"/>
  <c r="C19" i="7" s="1"/>
  <c r="C9" i="10"/>
  <c r="C81" i="10" s="1"/>
  <c r="C18" i="7"/>
  <c r="C93" i="5"/>
  <c r="C149" i="5"/>
  <c r="D12" i="7"/>
  <c r="C12" i="7" s="1"/>
  <c r="D10" i="7"/>
  <c r="D14" i="7"/>
  <c r="C14" i="7" s="1"/>
  <c r="C67" i="5"/>
  <c r="D16" i="7"/>
  <c r="H10" i="7"/>
  <c r="D13" i="7"/>
  <c r="C13" i="7" s="1"/>
  <c r="D118" i="5"/>
  <c r="D114" i="5" s="1"/>
  <c r="E9" i="7" l="1"/>
  <c r="E28" i="7" s="1"/>
  <c r="C88" i="5"/>
  <c r="F16" i="7"/>
  <c r="C16" i="7" s="1"/>
  <c r="G9" i="5"/>
  <c r="G189" i="5" s="1"/>
  <c r="E9" i="5"/>
  <c r="E189" i="5" s="1"/>
  <c r="F9" i="5"/>
  <c r="F189" i="5" s="1"/>
  <c r="G9" i="7"/>
  <c r="G28" i="7" s="1"/>
  <c r="H9" i="5"/>
  <c r="H189" i="5" s="1"/>
  <c r="H9" i="7"/>
  <c r="H28" i="7" s="1"/>
  <c r="C10" i="7"/>
  <c r="C118" i="5"/>
  <c r="F9" i="7" l="1"/>
  <c r="F28" i="7" s="1"/>
  <c r="C114" i="5"/>
  <c r="D17" i="7"/>
  <c r="D9" i="5"/>
  <c r="C17" i="7" l="1"/>
  <c r="C9" i="7" s="1"/>
  <c r="C28" i="7" s="1"/>
  <c r="D9" i="7"/>
  <c r="D28" i="7" s="1"/>
  <c r="C9" i="5"/>
  <c r="C189" i="5" s="1"/>
  <c r="D189" i="5"/>
</calcChain>
</file>

<file path=xl/sharedStrings.xml><?xml version="1.0" encoding="utf-8"?>
<sst xmlns="http://schemas.openxmlformats.org/spreadsheetml/2006/main" count="1593" uniqueCount="869">
  <si>
    <t>Azartspēļu nodoklis</t>
  </si>
  <si>
    <t>Valsts nodevas, kuras ieskaita pašvaldību budžetā</t>
  </si>
  <si>
    <t>Pašvaldību nodevas</t>
  </si>
  <si>
    <t>Naudas sodi un sankcijas</t>
  </si>
  <si>
    <t>Pārējie nenodokļu ieņēmumi</t>
  </si>
  <si>
    <t>Ieņēmumi no ēku un būvju īpašuma pārdošanas</t>
  </si>
  <si>
    <t>Maksa par izglītības pakalpojumiem</t>
  </si>
  <si>
    <t>Ieņēmumi par dokumentu izsniegšanu un kancelejas pakalpojumiem</t>
  </si>
  <si>
    <t>Ieņēmumi par nomu un īri</t>
  </si>
  <si>
    <t>Vispārējie valdības dienesti</t>
  </si>
  <si>
    <t>Vispārēja rakstura transferti no pašvaldību budžeta pašvaldību budžetam</t>
  </si>
  <si>
    <t>Sabiedriskā kārtība un drošība</t>
  </si>
  <si>
    <t>Ekonomiskā darbība</t>
  </si>
  <si>
    <t>Vides aizsardzība</t>
  </si>
  <si>
    <t>Atpūta, kultūra un reliģija</t>
  </si>
  <si>
    <t>Izglītība</t>
  </si>
  <si>
    <t>Sociālā aizsardzība</t>
  </si>
  <si>
    <t>F40020000</t>
  </si>
  <si>
    <t>Aizņēmumi</t>
  </si>
  <si>
    <t xml:space="preserve">           Pamatbudžeta ieņēmumi</t>
  </si>
  <si>
    <t xml:space="preserve">Iedzīvotāju ienākuma nodoklis </t>
  </si>
  <si>
    <t xml:space="preserve">Nekustamā īpašuma nodoklis </t>
  </si>
  <si>
    <t xml:space="preserve">Nekustamā īpašuma nodoklis par zemi </t>
  </si>
  <si>
    <t xml:space="preserve">Valsts (pašvaldību) nodevas un kancelejas nodevas </t>
  </si>
  <si>
    <t>Valsts budžeta transferti</t>
  </si>
  <si>
    <t>Domes priekšsēdētājs</t>
  </si>
  <si>
    <t>A. Rāviņš</t>
  </si>
  <si>
    <t xml:space="preserve">I. Izdevumi atbilstoši funkcionālajām kategorijām </t>
  </si>
  <si>
    <t>Valdības funkcija</t>
  </si>
  <si>
    <t>01.000.</t>
  </si>
  <si>
    <t>03.000.</t>
  </si>
  <si>
    <t>04.000.</t>
  </si>
  <si>
    <t>05.000.</t>
  </si>
  <si>
    <t>06.000.</t>
  </si>
  <si>
    <t>08.000.</t>
  </si>
  <si>
    <t>09.000.</t>
  </si>
  <si>
    <t>10.000.</t>
  </si>
  <si>
    <t>01.120.</t>
  </si>
  <si>
    <t>01.720.</t>
  </si>
  <si>
    <t>01.110.</t>
  </si>
  <si>
    <t>01.830.</t>
  </si>
  <si>
    <t>01.890.</t>
  </si>
  <si>
    <t>03.200.</t>
  </si>
  <si>
    <t>04.510.</t>
  </si>
  <si>
    <t>Autotransports</t>
  </si>
  <si>
    <t>01.330.</t>
  </si>
  <si>
    <t>05.100.</t>
  </si>
  <si>
    <t>Atkritumu apsaimniekošana</t>
  </si>
  <si>
    <t>Ielu apgaismošana</t>
  </si>
  <si>
    <t>06.600.</t>
  </si>
  <si>
    <t>II. Finansēšana</t>
  </si>
  <si>
    <t>Resursi izdevumu segšanai</t>
  </si>
  <si>
    <t>08.100.</t>
  </si>
  <si>
    <t>Atpūtas un sporta pasākumi</t>
  </si>
  <si>
    <t>08.200.</t>
  </si>
  <si>
    <t>Kultūra</t>
  </si>
  <si>
    <t>08.210.</t>
  </si>
  <si>
    <t>08.220.</t>
  </si>
  <si>
    <t>08.230.</t>
  </si>
  <si>
    <t>08.240.</t>
  </si>
  <si>
    <t xml:space="preserve">08.290. </t>
  </si>
  <si>
    <t>08.400.</t>
  </si>
  <si>
    <t xml:space="preserve">Finanšu un fiskālā darbība </t>
  </si>
  <si>
    <t>01.831.</t>
  </si>
  <si>
    <t>01.832.</t>
  </si>
  <si>
    <t>Transferti citām pašvaldībām izglītības funkciju nodrošināšanai</t>
  </si>
  <si>
    <t>Transferti citām pašvaldībām sociālās aizsardzības funkciju nodrošināšanai</t>
  </si>
  <si>
    <t>Ugunsdrošības, ugunsdzēsības, glābšanas un civilās drošības dienesti</t>
  </si>
  <si>
    <t>04.511.</t>
  </si>
  <si>
    <t>05.101.</t>
  </si>
  <si>
    <t>06.601.</t>
  </si>
  <si>
    <t>06.602.</t>
  </si>
  <si>
    <t>PAVISAM IZDEVUMI</t>
  </si>
  <si>
    <t>08.101.</t>
  </si>
  <si>
    <t>08.103.</t>
  </si>
  <si>
    <t>06.603.</t>
  </si>
  <si>
    <t>3. pielikums</t>
  </si>
  <si>
    <t>PAVISAM IZDEVUMI (I+II)</t>
  </si>
  <si>
    <t>A.Rāviņš</t>
  </si>
  <si>
    <t>1. pielikums</t>
  </si>
  <si>
    <t>06.604.</t>
  </si>
  <si>
    <t>08.291.</t>
  </si>
  <si>
    <t>08.292.</t>
  </si>
  <si>
    <t>09.510.</t>
  </si>
  <si>
    <t>03.202.</t>
  </si>
  <si>
    <t>09.511.</t>
  </si>
  <si>
    <t>09.512.</t>
  </si>
  <si>
    <t>10.120.</t>
  </si>
  <si>
    <t>Sociālā aizsardzība invaliditātes gadījumā</t>
  </si>
  <si>
    <t>10.400.</t>
  </si>
  <si>
    <t>10.700.</t>
  </si>
  <si>
    <t>Notekūdeņu apsaimniekošana</t>
  </si>
  <si>
    <t>F50010000</t>
  </si>
  <si>
    <t>08.221.</t>
  </si>
  <si>
    <t>04.515.</t>
  </si>
  <si>
    <t>04.730.</t>
  </si>
  <si>
    <t>09.100.</t>
  </si>
  <si>
    <t>09.810.</t>
  </si>
  <si>
    <t xml:space="preserve">Teātri, izrādes un koncertdarbība </t>
  </si>
  <si>
    <t>09.200.</t>
  </si>
  <si>
    <t>Pamatizglītība, vispārējā un profesionālā izglītība</t>
  </si>
  <si>
    <t>Interešu un profesionālās ievirzes izglītība</t>
  </si>
  <si>
    <t>09.513.</t>
  </si>
  <si>
    <t>09.514.</t>
  </si>
  <si>
    <t>10.121.</t>
  </si>
  <si>
    <t>10.123.</t>
  </si>
  <si>
    <t>10.124.</t>
  </si>
  <si>
    <t>10.125.</t>
  </si>
  <si>
    <t>Dienas centrs "Integra"</t>
  </si>
  <si>
    <t>Dienas centrs "Atbalsts"</t>
  </si>
  <si>
    <t>Grupu dzīvokļi</t>
  </si>
  <si>
    <t>10.200.</t>
  </si>
  <si>
    <t>Atbalsts gados veciem cilvēkiem</t>
  </si>
  <si>
    <t>10.201.</t>
  </si>
  <si>
    <t>10.202.</t>
  </si>
  <si>
    <t>Sociālās un medicīniskās aprūpes centrs</t>
  </si>
  <si>
    <t>10.403.</t>
  </si>
  <si>
    <t>10.701.</t>
  </si>
  <si>
    <t>10.704.</t>
  </si>
  <si>
    <t>10.707.</t>
  </si>
  <si>
    <t>Sociālā māja un sociālie dzīvokļi</t>
  </si>
  <si>
    <t>Radītāju nosaukums</t>
  </si>
  <si>
    <t xml:space="preserve">Nekustamā īpašuma nodoklis par ēkām  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</si>
  <si>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</si>
  <si>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</si>
  <si>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</si>
  <si>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</si>
  <si>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Naudas sodi, ko uzliek pašvaldības</t>
  </si>
  <si>
    <t>Pašvaldību budžetu transferti</t>
  </si>
  <si>
    <t>Ceļu un ielu infrastruktūras funkcionēšana, izmantošana, būvniecība un uzturēšana</t>
  </si>
  <si>
    <t>Pašvaldības dzīvokļu pārvaldīšana, remonts, veco māju nojaukšana</t>
  </si>
  <si>
    <t>Dotācijas sporta pasākumiem</t>
  </si>
  <si>
    <t>Pilsētas nozīmes pasākumi</t>
  </si>
  <si>
    <t>Pārējā citur neklasificētā kultūra</t>
  </si>
  <si>
    <t>01.122.</t>
  </si>
  <si>
    <t>01.123.</t>
  </si>
  <si>
    <t xml:space="preserve">Tūrisms </t>
  </si>
  <si>
    <t>04.900.</t>
  </si>
  <si>
    <t xml:space="preserve">05.102. </t>
  </si>
  <si>
    <t>10.402.</t>
  </si>
  <si>
    <t>Pārējās valsts nodevas, kuras ieskaita pašvaldību budžetā</t>
  </si>
  <si>
    <t>04.733.</t>
  </si>
  <si>
    <t>07.000.</t>
  </si>
  <si>
    <t>Veselība</t>
  </si>
  <si>
    <t>Akcijas un cita līdzdalība komersantu pašu kapitālā</t>
  </si>
  <si>
    <t xml:space="preserve"> 2.pielikums</t>
  </si>
  <si>
    <t>09.811.</t>
  </si>
  <si>
    <t>Pārējā izglītības vadība</t>
  </si>
  <si>
    <t>07.450.</t>
  </si>
  <si>
    <t xml:space="preserve">1. Nodokļu ieņēmumi </t>
  </si>
  <si>
    <t xml:space="preserve">2. Nenodokļu ieņēmumi </t>
  </si>
  <si>
    <t>3. Transferti</t>
  </si>
  <si>
    <t>II. FINANSĒŠANA</t>
  </si>
  <si>
    <t xml:space="preserve"> I.  IEŅĒMUMI KOPĀ (1+2+3+4)</t>
  </si>
  <si>
    <t>PAVISAM RESURSI (I+II)</t>
  </si>
  <si>
    <t>4. Maksas pakalpojumi un citi pašu ieņēmumi</t>
  </si>
  <si>
    <t>Teritoriju un mājokļu apsaimniekošana</t>
  </si>
  <si>
    <t>F40320020</t>
  </si>
  <si>
    <t>Saņemto ilgtermiņa aizņēmumu atmaksa</t>
  </si>
  <si>
    <t xml:space="preserve">Akcijas un cita līdzdalība komersantu pašu kapitālā </t>
  </si>
  <si>
    <t>04.901.</t>
  </si>
  <si>
    <t>Zemes reformas darbība, zemes īpašuma un lietošanas tiesību pārveidošana</t>
  </si>
  <si>
    <t>07.100.</t>
  </si>
  <si>
    <t>Ārstniecības līdzekļi</t>
  </si>
  <si>
    <t>07.200.</t>
  </si>
  <si>
    <t>Ambulatoro ārstniecības iestāžu darbība un pakalpojumi</t>
  </si>
  <si>
    <t>07.300.</t>
  </si>
  <si>
    <t>Slimnīcu pakalpojumi</t>
  </si>
  <si>
    <t>09.101.</t>
  </si>
  <si>
    <t>09.222.</t>
  </si>
  <si>
    <t>Profesionālā vidējā izglītība</t>
  </si>
  <si>
    <t>09.530.</t>
  </si>
  <si>
    <t>Līmeņos nedefinēta izglītība pieaugušajiem</t>
  </si>
  <si>
    <t>09.531.</t>
  </si>
  <si>
    <t>09.532.</t>
  </si>
  <si>
    <t>09.520.</t>
  </si>
  <si>
    <t>Sociālā palīdzība ģimenēm ar bērniem un vardarbībā cietušo bērnu rehabilitācija</t>
  </si>
  <si>
    <t>Nekustamā īpašuma nodoklis par mājokļiem</t>
  </si>
  <si>
    <t>01.111.</t>
  </si>
  <si>
    <t xml:space="preserve">Klasifik. kods </t>
  </si>
  <si>
    <t>Izpildvaras institūcija</t>
  </si>
  <si>
    <t>01.112.</t>
  </si>
  <si>
    <t>08.241.</t>
  </si>
  <si>
    <t>09.210.</t>
  </si>
  <si>
    <t>08.105.</t>
  </si>
  <si>
    <t>08.243.</t>
  </si>
  <si>
    <t>Jelgavas Ā.Alunāna teātra darbības nodrošināšana</t>
  </si>
  <si>
    <t>08.401.</t>
  </si>
  <si>
    <t>08.402.</t>
  </si>
  <si>
    <t>08.231.</t>
  </si>
  <si>
    <t>08.232.</t>
  </si>
  <si>
    <t>08.403.</t>
  </si>
  <si>
    <t>Kultūras padomes finansētie pasākumi</t>
  </si>
  <si>
    <t>08.405.</t>
  </si>
  <si>
    <t>Reliģisko organizāciju un citu biedrību un nodibinājumu pakalpojumi</t>
  </si>
  <si>
    <t>09.521.</t>
  </si>
  <si>
    <t>09.522.</t>
  </si>
  <si>
    <t xml:space="preserve">Klasifikā-cijas kods </t>
  </si>
  <si>
    <t>04.100.</t>
  </si>
  <si>
    <t>04.110.</t>
  </si>
  <si>
    <t>04.120.</t>
  </si>
  <si>
    <t>04.130.</t>
  </si>
  <si>
    <t>05.410.</t>
  </si>
  <si>
    <t>09.400.</t>
  </si>
  <si>
    <t>09.430.</t>
  </si>
  <si>
    <t>09.450.</t>
  </si>
  <si>
    <t>09.490.</t>
  </si>
  <si>
    <t>09.500.</t>
  </si>
  <si>
    <t>09.515.</t>
  </si>
  <si>
    <t>09.517.</t>
  </si>
  <si>
    <t>10.140.</t>
  </si>
  <si>
    <t>12.000.</t>
  </si>
  <si>
    <t>13.000.</t>
  </si>
  <si>
    <t>13.100.</t>
  </si>
  <si>
    <t>18.000.</t>
  </si>
  <si>
    <t>18.600.</t>
  </si>
  <si>
    <t>18.620.</t>
  </si>
  <si>
    <t>18.630.</t>
  </si>
  <si>
    <t>19.000.</t>
  </si>
  <si>
    <t>19.200.</t>
  </si>
  <si>
    <t>21.000.</t>
  </si>
  <si>
    <t>21.300.</t>
  </si>
  <si>
    <t>21.350.</t>
  </si>
  <si>
    <t>21.370.</t>
  </si>
  <si>
    <t>21.380.</t>
  </si>
  <si>
    <t>21.390.</t>
  </si>
  <si>
    <t>01.124.</t>
  </si>
  <si>
    <t>Dotācija no vispārējiem ieņēmumiem</t>
  </si>
  <si>
    <t>Budžeta iestāžu ieņēmumi</t>
  </si>
  <si>
    <t xml:space="preserve"> Valsts budžeta transferti </t>
  </si>
  <si>
    <t>Pašvaldību budžeta transferti</t>
  </si>
  <si>
    <t>Izpildvaras un likumdošanas varas institūcijas</t>
  </si>
  <si>
    <t>04.909.</t>
  </si>
  <si>
    <t>Dotācija "Zemgales plānošanas reģions"</t>
  </si>
  <si>
    <t>10.504.</t>
  </si>
  <si>
    <t>09.812.</t>
  </si>
  <si>
    <t>Pašvaldību saņemtie transferti no valsts budžeta</t>
  </si>
  <si>
    <t>Pašvaldību no valsts budžeta iestādēm saņemtie transferti Eiropas Savienības politiku instrumentu un pārējās ārvalstu finanšu palīdzības līdzfinansētajiem projektiem (pasākumiem)</t>
  </si>
  <si>
    <t>Pašvaldību saņemtie transferti no citām pašvaldībām</t>
  </si>
  <si>
    <t>Dotācijas projektu realizācijai NVO</t>
  </si>
  <si>
    <t>Atbalsts ģimenēm ar bērniem</t>
  </si>
  <si>
    <t>Atbalsts bezdarba gadījumā</t>
  </si>
  <si>
    <t>Palīdzība veciem cilvēkiem</t>
  </si>
  <si>
    <t>Valsts nodeva par uzvārda, vārda un tautības ieraksta maiņu personu apliecinošos dokumentos</t>
  </si>
  <si>
    <t>09.529.</t>
  </si>
  <si>
    <t>06.606.</t>
  </si>
  <si>
    <t>08.242.</t>
  </si>
  <si>
    <t>01.600.</t>
  </si>
  <si>
    <t>10.922.</t>
  </si>
  <si>
    <t>09.219.3.</t>
  </si>
  <si>
    <t>09.518.</t>
  </si>
  <si>
    <t xml:space="preserve">Ielu, laukumu, publisko dārzu un parku tīrīšana un atkritumu savākšana </t>
  </si>
  <si>
    <t>06.201.</t>
  </si>
  <si>
    <t>Ar pašvaldības teritoriju saistīto normatīvo aktu un standartu sagatavošana un ieviešana</t>
  </si>
  <si>
    <t>Veselības veicināšanas pasākumi</t>
  </si>
  <si>
    <t>Muzeji un izstādes</t>
  </si>
  <si>
    <t>09.219.1.</t>
  </si>
  <si>
    <t>09.219.2.</t>
  </si>
  <si>
    <t>09.222.2.</t>
  </si>
  <si>
    <t>09.222.3.</t>
  </si>
  <si>
    <t>10.900.</t>
  </si>
  <si>
    <t>Pabalsti ārkārtas gadījumos, citi pabalsti un kompensācijas</t>
  </si>
  <si>
    <t>10.921.</t>
  </si>
  <si>
    <t>Braukšanas maksas atvieglojumi skolēniem sabiedriskajā transportā</t>
  </si>
  <si>
    <t>Pārējās nodevas, ko uzliek pašvaldības</t>
  </si>
  <si>
    <t>Projektu sagatavošana, izstrāde un teritoriju attīstība</t>
  </si>
  <si>
    <t>Jelgavas vispārizglītojošo skolu projektu īstenošana</t>
  </si>
  <si>
    <t>09.812.3.</t>
  </si>
  <si>
    <t>JSLP Naktspatversme</t>
  </si>
  <si>
    <t>EUR</t>
  </si>
  <si>
    <t>10.705.2.</t>
  </si>
  <si>
    <t>05.530.</t>
  </si>
  <si>
    <t>21.100.</t>
  </si>
  <si>
    <t>10.911.</t>
  </si>
  <si>
    <t>Valsts nodevas par laulības reģistrāciju, civilstāvokļa akta reģistra ieraksta aktualizēšanu vai atjaunošanu un atkārtotas civilstāvokļa aktu reģistrācijas apliecības izsniegšanu</t>
  </si>
  <si>
    <t>Pašvaldības nodeva par domes izstrādāto oficiālo dokumentu un apliecinātu to kopiju saņemšanu</t>
  </si>
  <si>
    <t>18.640.</t>
  </si>
  <si>
    <t xml:space="preserve">Iestādes ieņēmumi </t>
  </si>
  <si>
    <t>Iestādes ieņēmumi no ārvalstu finanšu palīdzības</t>
  </si>
  <si>
    <t xml:space="preserve">Ieņēmumi no iestāžu sniegtajiem maksas pakalpojumiem un citi pašu ieņēmumi </t>
  </si>
  <si>
    <t>Ieņēmumi par pārējiem sniegtajiem maksas pakalpojumiem</t>
  </si>
  <si>
    <t>10.154.</t>
  </si>
  <si>
    <t>01.113.</t>
  </si>
  <si>
    <t>Projekts "Komunikācija ar sabiedrību tās iesaistei pašvaldību lēmumu pieņemšanā"</t>
  </si>
  <si>
    <t>05.202.</t>
  </si>
  <si>
    <t>06.401.</t>
  </si>
  <si>
    <t>08.211.</t>
  </si>
  <si>
    <t>10.122.</t>
  </si>
  <si>
    <t>10.601.</t>
  </si>
  <si>
    <t>Naudas līdzekļu atlikums uz perioda beigām</t>
  </si>
  <si>
    <t>Naudas līdzekļi uz perioda sākumu</t>
  </si>
  <si>
    <t>Bibliotēkas</t>
  </si>
  <si>
    <t>Jelgavas kamerorķestra darbības nodrošināšana</t>
  </si>
  <si>
    <t>Jelgavas bigbenda darbības nodrošināšana</t>
  </si>
  <si>
    <t>Centralizēto datoru un datortīkla uzturēšana</t>
  </si>
  <si>
    <t>Parāda procentu nomaksa</t>
  </si>
  <si>
    <t>Izdevumi neparedzētiem gadījumiem</t>
  </si>
  <si>
    <t>Tautas mākslas kolektīvu darbības nodrošināšana</t>
  </si>
  <si>
    <t>Naudas sodi, ko uzliek pašvaldību institūcijas par pārkāpumiem ceļu satiksmē</t>
  </si>
  <si>
    <t>PAVISAM KOPĀ</t>
  </si>
  <si>
    <t>Nosaukums</t>
  </si>
  <si>
    <t>Izdevumi kopā</t>
  </si>
  <si>
    <t>01.111. Izpildvaras institūcija</t>
  </si>
  <si>
    <t>01.331. Centralizēto datoru un datortīklu uzturēšana</t>
  </si>
  <si>
    <t>01.831. Transferti citām pašvaldībām izglītības funkciju nodrošināšanai</t>
  </si>
  <si>
    <t>01.832. Transferti citām pašvaldībām sociālās aizsardzības funkciju nodrošināšanai</t>
  </si>
  <si>
    <t>01.890.  Izdevumi neparedzētiem gadījumiem</t>
  </si>
  <si>
    <t>04.511. Ceļu un ielu infrastruktūras funkcionēšana, izmantošana, būvniecība un uzturēšana</t>
  </si>
  <si>
    <t>04.901. Zemes reformas darbība, zemes īpašuma un lietošanas tiesību pārveidošana</t>
  </si>
  <si>
    <t>05.101. Ielu, laukumu, publisko dārzu un parku tīrīšana, atkritumu savākšana</t>
  </si>
  <si>
    <t>05.202. Notekūdeņu apsaimniekošana</t>
  </si>
  <si>
    <t>06.201. Projektu sagatavošana un teritoriju attīstība</t>
  </si>
  <si>
    <t>06.401. Ielu apgaismošana</t>
  </si>
  <si>
    <t>06.604. Pašvaldības dzīvokļu pārvaldīšana, remonts, veco māju nojaukšana</t>
  </si>
  <si>
    <t>06.606. Ar pašvaldības teritoriju saistīto normatīvo aktu un standartu sagatavošana un ieviešana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</si>
  <si>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</si>
  <si>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</si>
  <si>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</si>
  <si>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</si>
  <si>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08.103. Dotācijas sporta pasākumiem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</si>
  <si>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</si>
  <si>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</si>
  <si>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</si>
  <si>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</si>
  <si>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08.292. Pilsētas nozīmes pasākumi</t>
  </si>
  <si>
    <t>08.401. Dotācijas projektu realizācijai NVO</t>
  </si>
  <si>
    <t>08.402. Kultūras padomes finansētie pasākumi</t>
  </si>
  <si>
    <t>09.219.3. Jelgavas vispārizglītojošo skolu projektu īstenošana</t>
  </si>
  <si>
    <t>09.222.2. Jelgavas Amatu vidusskolas darbības nodrošināšana</t>
  </si>
  <si>
    <t>09.512. Jelgavas Mākslas skolas darbības nodrošināšana</t>
  </si>
  <si>
    <t>10.125. Grupu dzīvokļi</t>
  </si>
  <si>
    <t>10.202. Palīdzība veciem cilvēkiem</t>
  </si>
  <si>
    <t>10.504. Atbalsts Bezdarba gadījumā</t>
  </si>
  <si>
    <t>10.601. Dzīvokļa pabalsts un pabalsts individuālās apkures nodrošināšanai</t>
  </si>
  <si>
    <t>10.701. Sociālā māja un sociālie dzīvokļi</t>
  </si>
  <si>
    <t>10.705.2. JSLP Naktspatversme</t>
  </si>
  <si>
    <t>10.707. Higiēnas centrs</t>
  </si>
  <si>
    <t>10.921. Pabalsti ārkārtas gadījumos, citi pabalsti un maksājumi</t>
  </si>
  <si>
    <t>10.922. Braukšanas maksas atvieglojumi skolēniem sabiedriskajā transportā</t>
  </si>
  <si>
    <t>F40020000 Aizdevumu pamatsummu atmaksa</t>
  </si>
  <si>
    <t>F21010000. Naudas līdzekļu atlikums uz perioda beigām</t>
  </si>
  <si>
    <t>Higiēnas centrs</t>
  </si>
  <si>
    <t>Pašvaldību budžetā saņemtā dotācija no pašvaldību finanšu izlīdzināšanas fonda</t>
  </si>
  <si>
    <t>09.533.</t>
  </si>
  <si>
    <t>10.127.</t>
  </si>
  <si>
    <t>Vēlēšanu organizēšana</t>
  </si>
  <si>
    <t>Klasifikā-cijas kods</t>
  </si>
  <si>
    <t>PAVISAM RESURSI KOPĀ</t>
  </si>
  <si>
    <t>PAVISAM IZDEVUMI KOPĀ</t>
  </si>
  <si>
    <t>09.513. Jelgavas sporta skolu darbības nodrošināšana - kopsavilkums</t>
  </si>
  <si>
    <t>6.pielikums</t>
  </si>
  <si>
    <t>10.402. Sociālā palīdzība ģimenēm ar bērniem un vardarbībā cietušo bērnu rehabilitācija</t>
  </si>
  <si>
    <t>10.201. Sociālās un medicīniskās aprūpes centrs</t>
  </si>
  <si>
    <t>21.400.</t>
  </si>
  <si>
    <t>06.607.</t>
  </si>
  <si>
    <t>01.332.</t>
  </si>
  <si>
    <t>05.600.</t>
  </si>
  <si>
    <t>05.603.</t>
  </si>
  <si>
    <t>07.452.</t>
  </si>
  <si>
    <t>Pārējo vispārējas nozīmes dienestu darbība un pakalpojumi</t>
  </si>
  <si>
    <t>01.331.</t>
  </si>
  <si>
    <t>Pārējā nekur citur neklasificētā vides aizsardzība</t>
  </si>
  <si>
    <t>Pašvaldības līdzfinansējums energoefektivitātes paaugstināšanas pasākumu veikšanai daudzdzīvokļu dzīvojamās mājās</t>
  </si>
  <si>
    <t>06.608.</t>
  </si>
  <si>
    <t>09.219.5.</t>
  </si>
  <si>
    <r>
      <t>Kultūras centri, nami un klubi</t>
    </r>
    <r>
      <rPr>
        <b/>
        <i/>
        <sz val="11"/>
        <rFont val="Times New Roman"/>
        <family val="1"/>
        <charset val="186"/>
      </rPr>
      <t xml:space="preserve"> </t>
    </r>
  </si>
  <si>
    <r>
      <t>Pārējā citur neklasificētā sociālā aizsardzība</t>
    </r>
    <r>
      <rPr>
        <b/>
        <i/>
        <sz val="11"/>
        <rFont val="Times New Roman"/>
        <family val="1"/>
        <charset val="186"/>
      </rPr>
      <t xml:space="preserve">  </t>
    </r>
  </si>
  <si>
    <t xml:space="preserve"> PI "Pašvaldības iestāžu centralizētā grāmatvedība" darbības nodrošināšana</t>
  </si>
  <si>
    <t>PI "Jelgavas pilsētas pašvaldības policija" darbības nodrošināšana</t>
  </si>
  <si>
    <t>PI "Jelgavas reģionālais tūrisma centrs" darbības nodrošināšana</t>
  </si>
  <si>
    <t>PI "Pilsētsaimniecība" darbības nodrošināšana</t>
  </si>
  <si>
    <t>PI "Sporta servisa centrs" darbības nodrošināšana</t>
  </si>
  <si>
    <t>PI  "Jelgavas pilsētas bibliotēka" darbības nodrošināšana</t>
  </si>
  <si>
    <t>PI "Ģ.Eliasa Jelgavas Vēstures un mākslas muzejs" darbības nodrošināšana</t>
  </si>
  <si>
    <t>PI  "Kultūra" darbības nodrošināšana</t>
  </si>
  <si>
    <t>Jelgavas vispārizglītojošo skolu darbības nodrošināšana</t>
  </si>
  <si>
    <t>Jelgavas Amatu vidusskolas darbības nodrošināšana</t>
  </si>
  <si>
    <t>Jelgavas Mākslas skolas darbības nodrošināšana</t>
  </si>
  <si>
    <t>Jelgavas sporta skolu darbības nodrošināšana</t>
  </si>
  <si>
    <t>PI "Zemgales reģionālais kompetenču attīstības centrs" darbības nodrošināšana</t>
  </si>
  <si>
    <t>PI "Zemgales reģionālais kompetenču attīstības centrs" projektu īstenošana</t>
  </si>
  <si>
    <t>PI "Jelgavas Izglītības pārvalde" darbības nodrošināšana</t>
  </si>
  <si>
    <t>PI "Jelgavas Izglītības pārvalde"  projektu īstenošana</t>
  </si>
  <si>
    <t>PI "Jelgavas Izglītības pārvalde" iekļaujošas izglītības atbalsta centrs</t>
  </si>
  <si>
    <t>PI "Jelgavas pilsētas bāriņtiesa" darbības nodrošināšana</t>
  </si>
  <si>
    <t>PI "Kultūra" pasākumi</t>
  </si>
  <si>
    <t>PI "Jelgavas sociālo lietu pārvalde" darbības nodrošināšana</t>
  </si>
  <si>
    <t>Pašvaldības nodeva par būvatļaujas izdošanu vai būvniecības ieceres akceptu</t>
  </si>
  <si>
    <t xml:space="preserve">Ieņēmumi no valsts (pašvaldību) īpašuma iznomāšanas, pārdošanas un no nodokļu pamatparāda kapitalizācijas </t>
  </si>
  <si>
    <t>Pārējie  21.300 grupā neklasificētie iestāžu ieņēmumi par iestāžu sniegtajiem maksas pakalpojumiem un citi pašu ieņēmumi</t>
  </si>
  <si>
    <t>7000. Uzturēšanas izdevumu transferti, pašu resursu maksājumi, starptautiskā sadarbība</t>
  </si>
  <si>
    <t>6000. Sociālie pabalsti</t>
  </si>
  <si>
    <t>5000. Pamatkapitāla veidošana</t>
  </si>
  <si>
    <t>3000. Subsīdijas un dotācijas</t>
  </si>
  <si>
    <t>2000. Preces un pakalpojumi</t>
  </si>
  <si>
    <t>1000. Atlīdzība</t>
  </si>
  <si>
    <t>F50010000 Akcijas un cita līdzdalība komersantu pašu kapitālā</t>
  </si>
  <si>
    <t>F40320020 Saņemto ilgtermiņa aizņēmumu atmaksa</t>
  </si>
  <si>
    <t>10.911. PI 'Jelgavas sociālo lietu pārvalde' darbības nodrošināšana</t>
  </si>
  <si>
    <t>10.704. GMI pabalsts, mirušo apbedīšanas izdevumi un citi naudas maksājumi maznodrošinātām un neaizsargātām personām</t>
  </si>
  <si>
    <t>10.124. Dienas centrs 'Atbalsts'</t>
  </si>
  <si>
    <t>10.123. Dienas centrs 'Integra'</t>
  </si>
  <si>
    <t>10.121. Invalīdu rehabilitācijas pasākumi, invalīdu transporta izdevumi u.c. kompensācijas</t>
  </si>
  <si>
    <t>10.403. PI 'Jelgavas pilsētas bāriņtiesa' darbības nodrošināšana</t>
  </si>
  <si>
    <t>09.532. PI 'Zemgales reģiona kompetenču attīstības centrs' projektu īstenošana</t>
  </si>
  <si>
    <t>09.531. PI 'Zemgales reģiona kompetenču attīstības centrs' darbības nodrošināšana</t>
  </si>
  <si>
    <t>08.232. PI 'Kultūra' pasākumi</t>
  </si>
  <si>
    <t>08.231. PI 'Kultūra' darbības nodrošināšana</t>
  </si>
  <si>
    <t>08.221. PI 'Ģ.Eliasa Jelgavas Vēstures un mākslas muzejs' darbības nodrošināšana</t>
  </si>
  <si>
    <t>08.211. PI 'Jelgavas pilsētas bibliotēka' darbības nodrošināšana</t>
  </si>
  <si>
    <t>08.101. PI 'Sporta servisa centrs' darbības nodrošināšana</t>
  </si>
  <si>
    <t>06.601. PI 'Pilsētsaimniecība' darbības nodrošināšana</t>
  </si>
  <si>
    <t>04.733. PI 'Jelgavas reģionālais tūrisma centrs' darbības nodrošināšana</t>
  </si>
  <si>
    <t>03.111. PI 'Jelgavas pilsētas pašvaldības policija' darbības nodrošināšana</t>
  </si>
  <si>
    <t>01.123. PI 'Pašvaldības iestāžu centralizētā grāmatvedība' darbības nodrošināšana</t>
  </si>
  <si>
    <t>01.122. Nekustamā īpašuma nodokļa u.c. pašvaldības ieņēmumu administrēšana</t>
  </si>
  <si>
    <t>02. JELGAVAS PILSĒTAS DOMES FINANŠU NODAĻA</t>
  </si>
  <si>
    <t>06.607. Pašvaldības līdzfinansējums energoefektivitātes paaugstināšanas pasākumu veikšanai daudzdzīvokļu dzīvojamās mājās</t>
  </si>
  <si>
    <t>01.113. Projekts - 'Komunikācija ar sabiedrību tās iesaistei pašvaldības lēmumu pieņemšanā'</t>
  </si>
  <si>
    <t>01. JELGAVAS PILSĒTAS DOME</t>
  </si>
  <si>
    <t>7. pielikums</t>
  </si>
  <si>
    <t>5.pielikums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</si>
  <si>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</si>
  <si>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</si>
  <si>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</si>
  <si>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</si>
  <si>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</si>
  <si>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</si>
  <si>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</si>
  <si>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</si>
  <si>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</si>
  <si>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KOPĀ</t>
  </si>
  <si>
    <t>Pamatsumma</t>
  </si>
  <si>
    <t>Valsts kase</t>
  </si>
  <si>
    <t>23.01.2015. - 20.01.2035</t>
  </si>
  <si>
    <t>A2/1/15/13</t>
  </si>
  <si>
    <t>23.01.2015. - 20.01.2035.</t>
  </si>
  <si>
    <t>A2/1/15/14</t>
  </si>
  <si>
    <t>20.05.2015. - 20.05.2035.</t>
  </si>
  <si>
    <t>A2/1/15/241</t>
  </si>
  <si>
    <t>Valsts Kase</t>
  </si>
  <si>
    <t>18.06.2015.- 20.06.2035.</t>
  </si>
  <si>
    <t>A2/1/15/322</t>
  </si>
  <si>
    <t>02.10.2015.-20.09.2035.</t>
  </si>
  <si>
    <t>A2/1/15/569</t>
  </si>
  <si>
    <t>07.06.2017.-20.03.2047.</t>
  </si>
  <si>
    <t>A2/1/17/364</t>
  </si>
  <si>
    <t>07.06.2017.-20.11.2036.</t>
  </si>
  <si>
    <t>A2/1/17/365</t>
  </si>
  <si>
    <t>03.07.2017.-20.11.2036.</t>
  </si>
  <si>
    <t>A2/1/17/467</t>
  </si>
  <si>
    <t>A2/1/17/465</t>
  </si>
  <si>
    <t>10.08.2017.-20.11.2036.</t>
  </si>
  <si>
    <t>A2/1/17/588</t>
  </si>
  <si>
    <t>31.08.2017.-20.03.2047.</t>
  </si>
  <si>
    <t>A2/1/17/632</t>
  </si>
  <si>
    <t>31.08.2017.-20.08.2037.</t>
  </si>
  <si>
    <t>A2/1/17/633</t>
  </si>
  <si>
    <t>25.10.2017.-20.10.2037.</t>
  </si>
  <si>
    <t>A2/1/17/774</t>
  </si>
  <si>
    <t>Latvijas - Lietuvas pārrobežu sadarbības programmas projekts "Pilsētas iedzīvotāju kartes pieejamo pakalpojumu pilnveidošana Jelgavā un Šauļos"</t>
  </si>
  <si>
    <t>A2/1/17/842</t>
  </si>
  <si>
    <t xml:space="preserve">Kopā procentu maksājumi         </t>
  </si>
  <si>
    <t>Aizņēmumu saistības kopā</t>
  </si>
  <si>
    <t xml:space="preserve"> Saistību īpatsvars</t>
  </si>
  <si>
    <t>%</t>
  </si>
  <si>
    <t>Galvojumi:</t>
  </si>
  <si>
    <t>03.12.2010. - 20.12.2030.</t>
  </si>
  <si>
    <t>A/1/10/1025</t>
  </si>
  <si>
    <t>18.12.2013. - 20.12.2030.</t>
  </si>
  <si>
    <t>G/13/1206</t>
  </si>
  <si>
    <t>Galvojumu saistības kopā</t>
  </si>
  <si>
    <t xml:space="preserve">         JELGAVAS PILSĒTAS PAŠVALDĪBAS ILGTERMIŅA SAISTĪBAS</t>
  </si>
  <si>
    <t>Pašvaldību saņemtie valsts budžeta transferti</t>
  </si>
  <si>
    <t>06.07.2018.-20.11.2034.</t>
  </si>
  <si>
    <t>A2/1/18/441</t>
  </si>
  <si>
    <t>ERAF projekts "Mācību vides uzlabošana Jelgavas Valsts ģimnāzijā un Jelgavas Tehnoloģiju vidusskolā"</t>
  </si>
  <si>
    <t>08.03.2018.-20.11.2037.</t>
  </si>
  <si>
    <t>A2/1/18/92</t>
  </si>
  <si>
    <t>Latvijas - Lietuvas pārrobežu sadarbības programmas projekts "Vides risku pārvaldības resursu pilnveidošana pierobežas reģionā (DERMR)"</t>
  </si>
  <si>
    <t>08.03.2018.-20.11.2027.</t>
  </si>
  <si>
    <t>A2/1/18/93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</si>
  <si>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</si>
  <si>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</si>
  <si>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</si>
  <si>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</si>
  <si>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</si>
  <si>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</si>
  <si>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05.07.2018.-20.03.2048.</t>
  </si>
  <si>
    <t>A2/1/18/435</t>
  </si>
  <si>
    <t>ERAF projekts "Nozīmīga kultūrvēsturiskā mantojuma saglabāšana un attīstība kultūras tūrisma piedāvājuma pilnveidošanai Zemgales reģionā"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</si>
  <si>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</si>
  <si>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</si>
  <si>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A2/1/18/541</t>
  </si>
  <si>
    <t>A2/1/18/542</t>
  </si>
  <si>
    <t>A2/1/18/543</t>
  </si>
  <si>
    <t>A2/1/18/602</t>
  </si>
  <si>
    <t>A2/1/18/603</t>
  </si>
  <si>
    <t>30.08.2018. - 20.06.2038.</t>
  </si>
  <si>
    <t>A2/1/18/604</t>
  </si>
  <si>
    <t>A2/1/18/709</t>
  </si>
  <si>
    <t>22.10.2018. - 20.09.2047.</t>
  </si>
  <si>
    <t>A2/1/18/736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</si>
  <si>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</si>
  <si>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</si>
  <si>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</si>
  <si>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-20.09.2038.</t>
  </si>
  <si>
    <t>ERAF projekts "Tehniskās infrastruktūras sakārtošana uzņēmējdarbības attīstībai degradētajā teritorijā, 1.kārta"</t>
  </si>
  <si>
    <t>04.737.</t>
  </si>
  <si>
    <t>04.740.</t>
  </si>
  <si>
    <t>Vairāku mērķu attīstības projekti</t>
  </si>
  <si>
    <t>ERAF projekts "Jelgavas lidlauka poldera dambja pārbūve plūdu draudu novēršanai"</t>
  </si>
  <si>
    <t>Interreg V-A Latvijas - Lietuvas programmas projekts "Pilsētas iedzīvotāju kartes pieejamo pakalpojumu pilnveidošana Jelgavā un Šauļos"</t>
  </si>
  <si>
    <t>Interreg V-A Latvijas - Lietuvas programmas projekts "Vides risku pārvaldības resursu pilnveidošana pierobežas reģionā, lai efektīvi veiktu vides aizsardzības pasākumus"</t>
  </si>
  <si>
    <t>ES Horizon 2020 programmas projekts  "THERMOS - termālās enerģijas resursu modelēšanas un optimizācijas sistēma"</t>
  </si>
  <si>
    <t>07.623.</t>
  </si>
  <si>
    <t>Nodibinājums "Jelgavnieku veselības veicināšanas fonds"</t>
  </si>
  <si>
    <t>09.219.6.</t>
  </si>
  <si>
    <t>09.534.</t>
  </si>
  <si>
    <t xml:space="preserve">ESF projekts “Nodarbināto personu profesionālās kompetences pilnveide” </t>
  </si>
  <si>
    <t>ESF projekts "Proti un dari"</t>
  </si>
  <si>
    <t>Dienas centrs "Harmonija"</t>
  </si>
  <si>
    <t>ESF projekts "Atver sirdi Zemgalē"</t>
  </si>
  <si>
    <t>GMI pabalsts, mirušo apbedīšanas izdevumi un citi naudas maksājumi maznodrošinātām un neaizsargātām personām</t>
  </si>
  <si>
    <t>10.100.</t>
  </si>
  <si>
    <t>Naudas sodi</t>
  </si>
  <si>
    <t>13.210.</t>
  </si>
  <si>
    <t>Ieņēmumi no zemes īpašuma pārdošanas</t>
  </si>
  <si>
    <t>12.340.</t>
  </si>
  <si>
    <t>Ieņēmumi no budžeta iestāžu saņemto un iepriekšējos gados neizlietoto budžeta līdzekļu atmaksāšanas</t>
  </si>
  <si>
    <t>12.349.</t>
  </si>
  <si>
    <t xml:space="preserve">Ieņēmumi no budžeta iestādēm atmaksātiem pārējiem debitoru parādiem </t>
  </si>
  <si>
    <t>21.194.</t>
  </si>
  <si>
    <t>Ieņēmumi no vadošā partnera partneru grupas īstenotajiem ārvalstu finanšu palīdzības projektiem</t>
  </si>
  <si>
    <t>21.351.</t>
  </si>
  <si>
    <t>Mācību maksa</t>
  </si>
  <si>
    <t>21.359.</t>
  </si>
  <si>
    <t>Pārējie ieņēmumi par izglītības pakalpojumiem</t>
  </si>
  <si>
    <t>21.379.</t>
  </si>
  <si>
    <t>Ieņēmumi par pārējo dokumentu izsniegšanu un pārējiem kancelejas pakalpojumiem</t>
  </si>
  <si>
    <t>21.381.</t>
  </si>
  <si>
    <t>21.383.</t>
  </si>
  <si>
    <t>Ieņēmumi no kustamā īpašuma iznomāšanas</t>
  </si>
  <si>
    <t>21.384.</t>
  </si>
  <si>
    <t>21.389.</t>
  </si>
  <si>
    <t>Ieņēmumi par zemes nomu</t>
  </si>
  <si>
    <t>Pārējie ieņēmumi par nomu un īri</t>
  </si>
  <si>
    <t>21.391.</t>
  </si>
  <si>
    <t>21.393.</t>
  </si>
  <si>
    <t>21.394.</t>
  </si>
  <si>
    <t>Maksa par personu uzturēšanos sociālās aprūpes iestādēs</t>
  </si>
  <si>
    <t>Ieņēmumi par biļešu realizāciju</t>
  </si>
  <si>
    <t>Ieņēmumi par komunālajiem pakalpojumiem</t>
  </si>
  <si>
    <t>21.395.</t>
  </si>
  <si>
    <t>Ieņēmumi par projektu īstenošanu</t>
  </si>
  <si>
    <t>21.399.</t>
  </si>
  <si>
    <t>Citi ieņēmumi par maksas pakalpojumiem</t>
  </si>
  <si>
    <t>01.721.</t>
  </si>
  <si>
    <t>Pašvaldību budžetu pārāda darījumi</t>
  </si>
  <si>
    <t>Pārējie citur neklasificētie vispārēja rakstura transferti starp dažādiem valsts pārvaldes līmeņiem</t>
  </si>
  <si>
    <t>01.891.</t>
  </si>
  <si>
    <t>03.100.</t>
  </si>
  <si>
    <t>Policija</t>
  </si>
  <si>
    <t xml:space="preserve">PI "Jelgavas pašvaldības operatīvās informācijas centrs" darbības nodrošināšana </t>
  </si>
  <si>
    <t>05.200.</t>
  </si>
  <si>
    <t>06.200.</t>
  </si>
  <si>
    <t>Teritoriju attīstība</t>
  </si>
  <si>
    <t>06.400.</t>
  </si>
  <si>
    <t xml:space="preserve">Pārējā citur neklasificētā teritoriju un mājokļu apsaimniekošanas darbība </t>
  </si>
  <si>
    <t>Pirmsskolas izglītība</t>
  </si>
  <si>
    <t>Vispārējā izglītība. Pamatizglītība</t>
  </si>
  <si>
    <t>Pedagogu profesionālās meistarības pilnveidošana, rezidentu apmācība un tālākizglītība, Valsts administrācijas skolas nodrošinātā apmācība</t>
  </si>
  <si>
    <t>10.500.</t>
  </si>
  <si>
    <t>10.600.</t>
  </si>
  <si>
    <t>Dzīvokļa pabalsts un pabalsts individuālās apkures nodrošināšanai</t>
  </si>
  <si>
    <t>Mājokļa atbalsts</t>
  </si>
  <si>
    <t>10.710.</t>
  </si>
  <si>
    <t>10.711.</t>
  </si>
  <si>
    <t>01.115.</t>
  </si>
  <si>
    <t>05.300.</t>
  </si>
  <si>
    <t>05.306.</t>
  </si>
  <si>
    <t>Vides piesārņojuma novēršana un samazināšana</t>
  </si>
  <si>
    <t>06.403.</t>
  </si>
  <si>
    <t xml:space="preserve">ESF projekts "Tehniskā palīdzība integrētu teritoriālo investīciju projektu iesniegumu atlašu nodrošināšanai Jelgavas pilsētas pašvaldībā" </t>
  </si>
  <si>
    <t>ERAF projekts "Kompleksu pasākumu īstenošana Svētes upes caurplūdes atjaunošanai un plūdu apdraudējuma samazināšanai piegulošajās teritorijās"</t>
  </si>
  <si>
    <t>Eiropas Kohēzijas fonda projekts "Videi draudzīgas sabiedriskā transporta infrastruktūras attīstība Jelgavā"</t>
  </si>
  <si>
    <t>Emisijas kvotu izsolīšanas instrumenta projekts "Siltumnīcefekta gāzu emisiju samazināšana ar viedajām pilsētvides tehnoloģijām Jelgavā"</t>
  </si>
  <si>
    <t>Pašvaldības īpašumu apsaimniekošana</t>
  </si>
  <si>
    <t>Nodibinājums "Sporta tālākizglītības atbalsta fonds"</t>
  </si>
  <si>
    <t>Nodibinājums "Kultūras tālākizglītības atbalsta fonds"</t>
  </si>
  <si>
    <t>Interreg V-A Latvijas - Lietuvas programmas projekts "Tehniskās bāzes un operatīvo dienestu speciālistu fiziskās kapacitātes uzlabošana Latvijas un Lietuvas pierobežas reģionā"</t>
  </si>
  <si>
    <t>Nodibinājums "Izglītības atbalsta fonds"</t>
  </si>
  <si>
    <t>Nodibinājums "J.Bisenieka fonds"</t>
  </si>
  <si>
    <t>Invalīdu rehabilitācijas pasākumi, invalīdu transports u.c. kompensācijas</t>
  </si>
  <si>
    <t>Sociālo pakalpojumu centrs bērniem</t>
  </si>
  <si>
    <t>Projekts "Sabiedrībā balstītu sociālo pakalpojumu infrastruktūras izveide, Jelgavā"</t>
  </si>
  <si>
    <t>SIA "Medicīnas sabiedrība OPTIMA 1"</t>
  </si>
  <si>
    <t>SIA "Jelgavas ūdens"</t>
  </si>
  <si>
    <t>SIA "Zemgales Olimpiskais centrs"</t>
  </si>
  <si>
    <t>SIA "Jelgavas poliklīnika"</t>
  </si>
  <si>
    <t>SIA "Jelgavas pilsētas slimnīca"</t>
  </si>
  <si>
    <t>Ziedojumi/ dāvinājumi</t>
  </si>
  <si>
    <t>ERAF projekts "Jelgavas Amatu vidusskolas infrastruktūras uzlabošana un mācību aprīkojuma modernizācija, 2.kārta"</t>
  </si>
  <si>
    <t>Dotācijas biedrībām, nodibinājumiem</t>
  </si>
  <si>
    <t>01.115. ESF projekts - 'Tehniskā palīdzība integrētu teritoriālo investīciju projektu iesniegumu atlašu nodrošināšanai Jelgavas pilsētas pašvaldībā'</t>
  </si>
  <si>
    <t>01.332. Interreg V-A Latvijas - Lietuvas programmas projekts - 'Pilsētas iedzīvotāju kartes pieejamo pakalpojumu pilnveidošana Jelgavā un Šauļos'</t>
  </si>
  <si>
    <t>04.737. ERAF projekts - 'Nozīmīga kultūrvēsturiskā mantojuma saglabāšana un attīstība kultūras tūrisma piedāvājuma pilnveidošanai Zemgales reģionā'</t>
  </si>
  <si>
    <t>05.306. Eiropas Kohēzijas fonda projekts - 'Videi draudzīgas sabiedriskā transporta infrastruktūras attīstība Jelgavā'</t>
  </si>
  <si>
    <t>05.603. Interreg V-A Latvijas - Lietuvas programmas projekts - 'Vides risku pārvaldības resursu pilnveidošana pierobežas reģionā, lai efektīvi veiktu vides aizsardzības pasākumus'</t>
  </si>
  <si>
    <t>06.608. ES Horizon 2020 programmas projekts - 'THERMOS - termālās enerģijas resursu modelēšanas un optimizācijas sistēma'</t>
  </si>
  <si>
    <t>09.219.5. ERAF projekts - 'Mācību vides uzlabošana Jelgavas Valsts ģimnāzijā un Jelgavas Tehnoloģiju vidusskolā'</t>
  </si>
  <si>
    <t>09.219.6. Interreg V-A Latvijas - Lietuvas programmas projekts - 'Tehniskās bāzes un operatīvo dienestu speciālistu fiziskās kapacitātes uzlabošana Latvijas un Lietuvas pierobežas reģionā'</t>
  </si>
  <si>
    <t>09.533. ESF projekts - 'Proti un dari'</t>
  </si>
  <si>
    <t>10.127. ESF projekts - 'Atver sirdi Zemgalē'</t>
  </si>
  <si>
    <t>10.711. Projekts - 'Sabiedrībā balstītu sociālo pakalpojumu infrastruktūras izveide Jelgavā'</t>
  </si>
  <si>
    <t>07.623. Fonds 'Jelgavnieku veselības veicināšanas fonds'</t>
  </si>
  <si>
    <t>08.105. Nodibinājums 'Sporta tālākizglītības atbalsta fonds'</t>
  </si>
  <si>
    <t>08.403. Nodibinājums 'Atbalsts kultūrai Jelgavā'</t>
  </si>
  <si>
    <t>08.405. Dotācijas biedrībām un nodibinājumiem</t>
  </si>
  <si>
    <t>09.521. Nodibinājums 'Izglītības atbalsta fonds'</t>
  </si>
  <si>
    <t>09.522. Nodibinājums 'J.Bisenieka atbalsta fonds'</t>
  </si>
  <si>
    <t>03. JELGAVAS PILSĒTAS PAŠVALDĪBAS IESTĀDE 'PAŠVALDĪBAS IESTĀŽU CENTRALIZĒTĀ GRĀMATVEDĪBA'</t>
  </si>
  <si>
    <t>04. JELGAVAS PILSĒTAS PAŠVALDĪBAS IESTĀDE 'JELGAVAS PILSĒTAS PAŠVALDĪBAS POLICIJA'</t>
  </si>
  <si>
    <t>05. JELGAVAS PILSĒTAS PAŠVALDĪBAS IESTĀDE 'JELGAVAS PAŠVALDĪBAS OPERATĪVĀS INFORMĀCIJAS CENTRS'</t>
  </si>
  <si>
    <t>03.202. PI 'Pašvaldības operatīvās informācijas centrs' darbības nodrošināšana</t>
  </si>
  <si>
    <t>06. JELGAVAS PILSĒTAS PAŠVALDĪBAS IESTĀDE 'JELGAVAS REĢIONĀLAIS TŪRISMA CENTRS'</t>
  </si>
  <si>
    <t>07. JELGAVAS PILSĒTAS PAŠVALDĪBAS IESTĀDE 'PILSĒTSAIMNIECĪBA'</t>
  </si>
  <si>
    <t>06.403. Emisijas kvotu izsolīšanas instrumenta projekts - 'Situmnīcefekta gāzu emisiju samazināšana ar viedajām pilsētvides tehnoloģijām Jelgavā'</t>
  </si>
  <si>
    <t>08. JELGAVAS PILSĒTAS PAŠVALDĪBAS IESTĀDE 'SPORTA SERVISA CENTRS'</t>
  </si>
  <si>
    <t>09. JELGAVAS PILSĒTAS PAŠVALDĪBAS IESTĀDE 'JELGAVAS PILSĒTAS BIBLIOTĒKA'</t>
  </si>
  <si>
    <t>10. JELGAVAS PILSĒTAS PAŠVALDĪBAS IESTĀDE 'Ģ.ELIASA JELGAVAS VĒSTURES UN MĀKSLAS MUZEJS'</t>
  </si>
  <si>
    <t>11. JELGAVAS PILSĒTAS PAŠVALDĪBAS IESTĀDE 'KULTŪRA'</t>
  </si>
  <si>
    <t>09.222.3. Jelgavas Amatu vidusskolas projektu īstenošana - kopsavilkums</t>
  </si>
  <si>
    <t>10.122. Dienas centrs 'Harmonija'</t>
  </si>
  <si>
    <t>10.710. Sociālo pakalpojumu centrs bērniem</t>
  </si>
  <si>
    <t>F50010000. Akcijas un cita līdzdalība komersantu pašu kapitālā</t>
  </si>
  <si>
    <t>30.08.2018. -20.06.2028.</t>
  </si>
  <si>
    <t>Zvērināto auditoru pakalpojumi un grāmatvedības programmu uzturēšana</t>
  </si>
  <si>
    <t>Dabas resursu nodoklis</t>
  </si>
  <si>
    <t>17.000.</t>
  </si>
  <si>
    <t>17.200.</t>
  </si>
  <si>
    <t>Pašvaldību saņemtie transferti no valsts budžeta daļēji finansētām atvasinātām publiskām personām un no budžeta nefinansētām iestādēm</t>
  </si>
  <si>
    <t>21.191.</t>
  </si>
  <si>
    <t>04.510.529.</t>
  </si>
  <si>
    <t>ERAF projekts "Tehniskās infrastruktūras sakārtošana uzņēmējdarbības attīstībai degradētajā teritorijā, 2.kārta"</t>
  </si>
  <si>
    <t>09.111.</t>
  </si>
  <si>
    <t>Projekts "Ēkas pārbūve par pirmskolas izglītības iestādi Brīvības bulvārī 31 A, Jelgavā"</t>
  </si>
  <si>
    <t>09.219.8.</t>
  </si>
  <si>
    <t>ERAF projekts "Jelgavas pilsētas pašvaldības izglītības iestādes "Jelgavas Tehnoloģiju vidusskola" energoefektivitātes paaugstināšana"</t>
  </si>
  <si>
    <t>09.519.04.</t>
  </si>
  <si>
    <t>Latvijas - Lietuvas pārrobežu sadarbības programmas projekts "Sociālajam riskam pakļauto bērnu un jauniešu integrācija Jelgavas un Šauļu pilsētas pašvaldībās"</t>
  </si>
  <si>
    <t>09.820.</t>
  </si>
  <si>
    <t>Pārējie citur neklasificētie izglītības pakalpojumi</t>
  </si>
  <si>
    <t>10.129.</t>
  </si>
  <si>
    <t>ESF projekts "Par individuālā budžeta modeļa aprobāciju pilngadīgām personām ar garīga rakstura traucējumiem sabiedrībā balstītu sociālo pakalpojumu nodrošināšanai"</t>
  </si>
  <si>
    <t>05.303.</t>
  </si>
  <si>
    <t>Pārējie iepriekš neklasificētie vispārējie valdības dienesti</t>
  </si>
  <si>
    <t>01.601.</t>
  </si>
  <si>
    <t>Nekustamā īpašuma nodokļa un citu pašvaldības ieņēmumu administrēšana</t>
  </si>
  <si>
    <t>Investīciju projektu īstenošanai (saistību pārjaunojums)</t>
  </si>
  <si>
    <t>24.11.2017.-20.11.2022</t>
  </si>
  <si>
    <t>Pašvaldības izglītības iestāžu investīciju projekts "Jelgavas pilsētas pašvaldības ēkas Zemgales prospekts 7 pārbūve un jaunais būvapjoms (piebūve)", I un III kārta ("Junda" izvietošanai)</t>
  </si>
  <si>
    <t>07.08.2018.- 20.06.2048.</t>
  </si>
  <si>
    <t>ERAF projekts ""Jelgavas pilsētas pašvaldības ēkas Zemgales prospekts 7 energoefektivitātes paaugstināšana" II kārta"</t>
  </si>
  <si>
    <t>07.08.2018.- 20.03.2048.</t>
  </si>
  <si>
    <t>Projekts "Asfaltbetona seguma izbūve Romas ielā posmā no Zemeņu ielas līdz Turaidas ielai"</t>
  </si>
  <si>
    <t>07.08.2018.- 20.03.2038.</t>
  </si>
  <si>
    <t>30.08.2018.- 20.06.2038.</t>
  </si>
  <si>
    <t>Izglītības iestādes investīciju projekts "Jelgavas pilsētas pašvaldības PII "Gaismina" telpu vienkāršota atjaunošana"</t>
  </si>
  <si>
    <t>Pašvaldības prioritārais investīciju projekts "Jelgavas Kultūras nama ēkas fasādes, pamatu vertikālās hidroizolācijas atjaunošana un teritorijas sakārtošana"</t>
  </si>
  <si>
    <t>10.10.2018. -20.09.2038.</t>
  </si>
  <si>
    <t>SIA "Jelgavas ūdens" pamatkapitāla palielināšanai projektam "Ūdenssaimniecības pakalpojumu attīstība Jelgavā, V kārta"</t>
  </si>
  <si>
    <t>Lat -Lit pārrobežu sadarbības projekts "Tehniskās bāzes un operatīvo dienestu speciālistu fziskās kapacitātes uzlabošana Latvijas un Lietuvas pierobežas reģionā (All for safety)"</t>
  </si>
  <si>
    <t>02.04.2019.- 20.03.2049.</t>
  </si>
  <si>
    <t>A2/1/19/84</t>
  </si>
  <si>
    <t>17.05.2019.- 20.03.2049.</t>
  </si>
  <si>
    <t>A2/1/19/156</t>
  </si>
  <si>
    <t>19.06.2019.-20.03.2049.</t>
  </si>
  <si>
    <t>A2/1/19/231</t>
  </si>
  <si>
    <t>KF projekts "Loka maģistrāles pārbūve posmā no Kalnciema ceļa līdz Jelgavas administratīvajai robežai"</t>
  </si>
  <si>
    <t>18.09.2019.-20.03.2049.</t>
  </si>
  <si>
    <t>A2/1/19/337</t>
  </si>
  <si>
    <t>A2/1/19/339</t>
  </si>
  <si>
    <t>VB līdzfinansēts projekts "Miera ielas un Aizsargu ielas asfalta seguma atjaunošana un tilta pār Platones upi pārbūve"</t>
  </si>
  <si>
    <t>A2/1/19/340</t>
  </si>
  <si>
    <t xml:space="preserve"> Saistību īpatsvars bez priekšfinansējuma atmaksām</t>
  </si>
  <si>
    <t>Pamatsummu atmaksa pēc grafika</t>
  </si>
  <si>
    <t>Pamatsummu pieaugums pret iepriekšējo gadu</t>
  </si>
  <si>
    <t>Kopējo saistību pieaugums pret iepriekšējo gadu</t>
  </si>
  <si>
    <t>SIA Jelgavas ūdens - Ūdenssaimniecība II kārta</t>
  </si>
  <si>
    <t>SIA Jelgavas ūdens - Ūdenssaimniecība III kārta</t>
  </si>
  <si>
    <t>Pirmstermiņa atmaksas uz xx.xx.2020.</t>
  </si>
  <si>
    <t>Jelgavas speciālo skolu un speciālās pirmsskolas izglītības programma</t>
  </si>
  <si>
    <t>F22010000</t>
  </si>
  <si>
    <t>Valdības funkcijas kods</t>
  </si>
  <si>
    <t>01.124. Zvērināto auditoru pakalpojumi un grāmatvedības programmas Horizon uzturēšana</t>
  </si>
  <si>
    <t>04.510.529. ERAF projekts 'Tehniskās infrastruktūras sakārtošana uzņēmējdarbības attīstībai degradētajā teritorijā, 2.kārta'</t>
  </si>
  <si>
    <t>09.111. Projekts - 'Ēkas pārbūve par pirmskolas izglītības iestādi Brīvības bulvārī 31 A, Jelgavā'</t>
  </si>
  <si>
    <t>09.219.8. ERAF projekts - 'Jelgavas pilsētas pašvaldības izglītības iestādes 'Jelgavas Tehnoloģiju vidusskola' energoefektivitātes paaugstināšana'</t>
  </si>
  <si>
    <t>4000. Procentu izdevumi</t>
  </si>
  <si>
    <t>10.129. ESF projekts 'Par individuālā budžeta modeļa aprobāciju pilngadīgām personām ar garīga rakstura traucējumiem sabiedrībā balstītu sociālo pakalpojumu nodrošināšanai'</t>
  </si>
  <si>
    <t>12. JELGAVAS PILSĒTAS PAŠVALDĪBAS IESTĀDE 'ZEMGALES REĢIONA KOMPETENČU ATTĪSTĪBAS CENTRS'</t>
  </si>
  <si>
    <t>13. JELGAVAS PILSĒTAS PAŠVALDĪBAS IESTĀDE 'JELGAVAS IZGLĪTĪBAS PĀRVALDE'</t>
  </si>
  <si>
    <t>14. JELGAVAS PILSĒTAS PAŠVALDIBAS IESTĀDE 'JELGAVAS PILSĒTAS BĀRIŅTIESA'</t>
  </si>
  <si>
    <t>15. JELGAVAS PILSĒTAS PAŠVALDĪBAS IESTĀDE 'JELGAVAS SOCIĀLO LIETU PĀRVALDE'</t>
  </si>
  <si>
    <t>Pašvaldības teritorijas, kapsētu un mežu apsaimniekošana</t>
  </si>
  <si>
    <t>8. pielikums</t>
  </si>
  <si>
    <t>N.p.k.</t>
  </si>
  <si>
    <t>2021.gads</t>
  </si>
  <si>
    <t>I</t>
  </si>
  <si>
    <t>Pašvaldību saņemtie valsts budžeta transferti noteiktam mērķim</t>
  </si>
  <si>
    <t>II</t>
  </si>
  <si>
    <t>Izdevumi - kopā</t>
  </si>
  <si>
    <t>Ielu būvniecība un rekonstrukcija</t>
  </si>
  <si>
    <t>Ietvju būvniecība un rekonstrukcija</t>
  </si>
  <si>
    <t>Ceļu un ielu atjaunošana, pārbūve un nojaukšana</t>
  </si>
  <si>
    <t>Ceļu un ielu ikdienas uzturēšana</t>
  </si>
  <si>
    <t>Pārējie izdevumi</t>
  </si>
  <si>
    <t>III</t>
  </si>
  <si>
    <t>Finansēšana</t>
  </si>
  <si>
    <t>Naudas līdzekļi perioda sākumā</t>
  </si>
  <si>
    <t>2022.gads</t>
  </si>
  <si>
    <t>SIA Jelgavas ūdens - Ūdenssaimniecības pakalpojumu attīstība Jelgavā, V kārta</t>
  </si>
  <si>
    <t>PI "Ģ.Eliasa Jelgavas Vēstures un mākslas muzejs" muzeja krājumu iegādei</t>
  </si>
  <si>
    <t xml:space="preserve">         JELGAVAS PILSĒTAS PAŠVALDĪBAS 2021.GADA BUDŽETS  </t>
  </si>
  <si>
    <t>2021.gada plāns, EUR</t>
  </si>
  <si>
    <t>Pašvaldības budžeta ieņēmumos saņemtais iedzīvotāju ienākuma nodoklis no Valsts kases sadales konta</t>
  </si>
  <si>
    <t>Nodokļi par pakalpojumiem un precēm</t>
  </si>
  <si>
    <t xml:space="preserve">No valsts budžeta daļēji finansēto atvasinātu publisku personu un budžeta nefinansētu iestāžu transferti </t>
  </si>
  <si>
    <t>Ieņēmumi no citu Eiropas Savienības politiku instrumentu līdzfinansēto projektu un pasākumu īstenošanas, kas nav Eiropas struktūrālie un investīciju fondi, un citu valstu finanšu palīdzības programmu īstenošanas</t>
  </si>
  <si>
    <t>Ieņēmumi par nedzīvojamā nekustamā īpašuma nomu</t>
  </si>
  <si>
    <t>21.490.</t>
  </si>
  <si>
    <t>Citi iepriekš neklasificētie pašu ieņēmumi</t>
  </si>
  <si>
    <t xml:space="preserve">JELGAVAS PILSĒTAS PAŠVALDĪBAS 2021.GADA BUDŽETS  </t>
  </si>
  <si>
    <t xml:space="preserve">           Pamatbudžeta izdevumi, EUR</t>
  </si>
  <si>
    <t>Plāns 2021.gadam</t>
  </si>
  <si>
    <t>Finansēšana (naudas līdzekļu atlikums uz 31.12.2020)</t>
  </si>
  <si>
    <t xml:space="preserve">           Pamatbudžeta izdevumu atšifrējums pa programmām, EUR </t>
  </si>
  <si>
    <t>2021.gada izdevumu plāns</t>
  </si>
  <si>
    <t>Finansēšana (naudas līdzekļu atlikums uz 31.12.2020.)</t>
  </si>
  <si>
    <t>Pārējā citur neklasificētā ekonomiskā darbība</t>
  </si>
  <si>
    <t>Pārējais citur neklasificēts atbalsts sociāli atstumtām personām</t>
  </si>
  <si>
    <t>Jelgavas pilsētas pašvaldības 2021.gada ziedojumu un dāvinājumu budžeta kopsavilkums</t>
  </si>
  <si>
    <t>Ziedojumu un dāvinājumu budžeta resursi, EUR</t>
  </si>
  <si>
    <t>Resursu plāns 2021.gadam</t>
  </si>
  <si>
    <t>Ziedojumu un dāvinājumu budžeta izdevumi, EUR</t>
  </si>
  <si>
    <t>Naudas līdzekļu atlikums uz 31.12.2020.</t>
  </si>
  <si>
    <t>Izdevumu plāns uz 2021.gadam</t>
  </si>
  <si>
    <t>2023.gads</t>
  </si>
  <si>
    <t>JELGAVAS PILSĒTAS PAŠVALDĪBAS VIDĒJA TERMIŅA PILSĒTAS IELU FINANSĒŠANAI PAREDZĒTAIS AUTOCEĻU FONDS, EUR</t>
  </si>
  <si>
    <t>03.111.</t>
  </si>
  <si>
    <t>03.112.</t>
  </si>
  <si>
    <t>ERAF projekts "Jelgavas pilsētas pašvaldības policijas ēkas energoefektivitātes paaugstināšana"</t>
  </si>
  <si>
    <t>03.207.</t>
  </si>
  <si>
    <t>ERAF projekts "Jelgavas pašvaldības operatīvās informācijas centra ēkas Sarmas ielā 4 energoefektivitātes paaugstināšana"</t>
  </si>
  <si>
    <t>04.510.530.</t>
  </si>
  <si>
    <t>ERAF projekts "Tehniskās infrastruktūras sakārtošana uzņēmējdarbības attīstībai degradētajā teritorijā, 3.kārta"</t>
  </si>
  <si>
    <t>04.738.</t>
  </si>
  <si>
    <t>04.739.</t>
  </si>
  <si>
    <t>Latvijas - Lietuvas pārrobežu sadarbības programmas projekts "Kopīga pārrobežu tūrisma piedāvājuma "Saules ceļš" izveide"</t>
  </si>
  <si>
    <t>ERAF projekts "Kultūras mantojuma saglabāšana un attīstība Jelgavas pilsētā"</t>
  </si>
  <si>
    <t>05.604.</t>
  </si>
  <si>
    <t>Projekts "Jelgavas decentralizētās kanalizācijas sistēmas izveide"</t>
  </si>
  <si>
    <t>ESF projekts "Veselības veicināšana Jelgavā"</t>
  </si>
  <si>
    <t>Jelgavas pirmsskolas izglītības iestāžu darbības nodrošināšana</t>
  </si>
  <si>
    <t>Jelgavas speciālo skolu un speciālās pirmsskolas izglītības programmas darbības nodrošināšana</t>
  </si>
  <si>
    <t>Jelgavas Amatu vidusskolas projektu īstenošana</t>
  </si>
  <si>
    <t>Pārējie interešu izglītības pasākumi, t.sk. Jaunrades nama "Junda" darbības nodrošināšana</t>
  </si>
  <si>
    <t>Jaunrades nama "Junda" projektu īstenošana</t>
  </si>
  <si>
    <t>04.744.</t>
  </si>
  <si>
    <t>ERAF projekts "Pilssalas ielas degradētās teritorijas sakārtošana"</t>
  </si>
  <si>
    <t>09.822.</t>
  </si>
  <si>
    <t>Projekts "Brīvs, prātīgs, atbildīgs"</t>
  </si>
  <si>
    <t>10.712.</t>
  </si>
  <si>
    <t>ERAF "Daudzfunkcionālā sociālo pakalpojumu centra ēkas Zirgu ielā 47a, Jelgavā, energoefektivitātes paaugstināšana"</t>
  </si>
  <si>
    <t>08.214.</t>
  </si>
  <si>
    <t>Erasmus + programmas projekts "Lauku un reģionālās bibliotēkas kā vietējie ģimenes izņēmējdarbības centri"</t>
  </si>
  <si>
    <t>04.917.</t>
  </si>
  <si>
    <t>Jelgavas pilsētas pašvaldības grantu programma "Atbalsts komersantiem un saimnieciskās darbības veicējiem"</t>
  </si>
  <si>
    <t>01.601. Vēlēšanu organizēšana</t>
  </si>
  <si>
    <t>03.112. ERAF projekts 'Jelgavas pilsētas pašvaldības ēkas energoefektivitātes paaugstināšana'</t>
  </si>
  <si>
    <t>03.207. ERAF projekts 'Jelgavas pašvaldības operatīvās informācijas centra ēkas Sarmas ielā 4 energoefektivitātes paaugstināšana'</t>
  </si>
  <si>
    <t>04.510.530. ERAF projekts 'Tehniskās infrastruktūras sakārtošana uzņēmējdarbības attīstībai degradētajā teritorijā, 3.kārta'</t>
  </si>
  <si>
    <t>04.738. Latvijas - Lietuvas pārrobežu sadarbības programmas projekts 'Kopīga pārrobežu tūrisma piedāvājuma 'Saules ceļš' izveide'</t>
  </si>
  <si>
    <t>04.739. ERAF projekts 'Kultūras mantojuma saglabāšana un attīstība Jelgavas pilsētā'</t>
  </si>
  <si>
    <t>04.744. ERAF projekts 'Pilssalas ielas degradētās teritorijas sakārtošana'</t>
  </si>
  <si>
    <t>09.519.04. Latvijas - Lietuvas pārrobežu sadarbības programmas projekts 'Sociālajam riskam pakļauto bērnu un jauniešu integrācija Jelgavas un Šauļu pilsētas pašvaldībās'</t>
  </si>
  <si>
    <t>09.534. ESF projekts - 'Nodarbināto personu profesionālās kompetences pilnveide'</t>
  </si>
  <si>
    <t>09.822. Projekts 'Brīvs, prātīgs, atbildīgs'</t>
  </si>
  <si>
    <t>10.712. ERAF projekts 'Daudzfunkcionālā sociālo pakalpojumu centra ēkas Zirgu ielā 47a, Jelgavā, energoefektivitātes paaugstināšana'</t>
  </si>
  <si>
    <t>01.721. Parāda procentu nomaksa</t>
  </si>
  <si>
    <t>04.917. Jelgavas pilsētas pašvaldības grantu programma 'Atbalsts komersantiem un saimnieciskās darbības veicējiem'</t>
  </si>
  <si>
    <t>05.604. Projekts 'Jelgavas decenralizētās kanalizācijas sistēmas izveide'</t>
  </si>
  <si>
    <t>06.602. Pašvaldības teritorijas, mežu un kapsētu apsaimniekošana, klaiņojošo dzīvnieku likvidācija</t>
  </si>
  <si>
    <t>08.214. Erasmus+ programmas projekts 'Lauku un reģionālās bibliotēkas kā vietējie ģimenes uzņēmējdarbības centri'</t>
  </si>
  <si>
    <t>14. JELGAVAS PILSĒTAS PAŠVALDĪBAS IESTĀDE 'JELGAVAS IZGLĪTĪBAS PĀRVALDE'</t>
  </si>
  <si>
    <t>09.101. Jelgavas pirmsskolas izglītības iestāžu darbības nodrošināšana</t>
  </si>
  <si>
    <t>09.219.1. Jelgavas vispārizglītojošo skolu darbības nodrošināšana</t>
  </si>
  <si>
    <t>09.219.2. Jelgavas speciālo skolu un speciālās pirmsskolas izglītības programmas darbības nodrošināšana</t>
  </si>
  <si>
    <t>09.511. Pārējie interešu izglītības pasākumi, t.sk. Jaunrades nama 'Junda' darbības nodrošināšana</t>
  </si>
  <si>
    <t>09.811. PI 'Jelgavas Izglītības pārvalde' darbības nodrošināšana</t>
  </si>
  <si>
    <t>09.812. PI 'Jelgavas Izglītības pārvalde' projektu īstenošana</t>
  </si>
  <si>
    <t>09.812.3. PI 'Jelgavas Izglītības pārvalde' iekļaujošas izglītības atbalsta centrs</t>
  </si>
  <si>
    <t>16. JELGAVAS PILSĒTAS PAŠVALDĪBAS IESTĀDE 'JELGAVAS SOCIĀLO LIETU PĀRVALDE'</t>
  </si>
  <si>
    <t>17. FINANSĒŠANA</t>
  </si>
  <si>
    <t>4. pielikums</t>
  </si>
  <si>
    <t xml:space="preserve">05.102.  Pilsētas sanitārā tīrīšana </t>
  </si>
  <si>
    <t>06.603. Pašvaldības īpašumu apsaimniekošana</t>
  </si>
  <si>
    <t>Pilsētas sanitārā tīrīšana</t>
  </si>
  <si>
    <t>2036-2051</t>
  </si>
  <si>
    <t>Projekts "Jelgavas 1.internātpamatskolas rekonstrukcijas darbi"</t>
  </si>
  <si>
    <t>Projekts "Jelgavas pilsētas PPII Skautu ielā 1 rekonstrukcijas darbi"</t>
  </si>
  <si>
    <t>Projekts "Siltumnīcefektu gāzu emisiju samazināšana" (Pilsētsaimniecība)</t>
  </si>
  <si>
    <t>Projekts "Jelgavas izglītības pārvaldes ēkas jumta rekonstrukcija"</t>
  </si>
  <si>
    <t>Projekts "Energoefektīvu risinājumu piemērošana ilgtspējīgām ēkām Jelgavā - sporta halle"</t>
  </si>
  <si>
    <t>Prioritārais projekts "Jelgavas kultūras nama iekšējo komunikāciju atjaunošana"</t>
  </si>
  <si>
    <t>Projekts "Atmodas ielas posma no Dobeles šosejas līdz Dambja ielai asfalta seguma atjaunošana"</t>
  </si>
  <si>
    <t>Izglītības iestāžu investīciju projekts "Jelgavas pilsētas PPII "Zemenīte" telpu pārbūve"</t>
  </si>
  <si>
    <t xml:space="preserve">Izglītības iestāžu investīciju projekts  "Jelgavas 1.internātpamatskolas jumta konstrukciju nomaiņa" </t>
  </si>
  <si>
    <t>SIA "Jelgavas ūdens" pamatkapitāla palielināšana projekta "Ūdenssaimniecības pakalpojumu attīstība Jelgavā, V kārta" īstenošanai</t>
  </si>
  <si>
    <t>Izglītības iestāžu investīciju projekts "Jelgavas pilsētas PPII "Rotaļa" ēkas rekonstrukcija"</t>
  </si>
  <si>
    <t>Projekts "Asfaltbetona seguma atjaunošana, lietus ūdens kanalizācijas un ūdensvada tīklu nomaiņa Akadēmijas ielas posmā no Raiņa līdz Lielai ielai"</t>
  </si>
  <si>
    <t>Projekts "Muzeja jumta skārda seguma nomaiņa un bēniņu pārseguma siltināšana"</t>
  </si>
  <si>
    <t>Projekts "Jelgavas Valsts ģimnāzijas pārbūves papilddarbi"</t>
  </si>
  <si>
    <t>Latvijas -  Lietuvas pārrobežu sadarbības programmas projekts "Civilās aizsardzības sistēmas pilnveidošana Jelgavas un Šauļu pilsētās (C-System)</t>
  </si>
  <si>
    <t>31.07.2020.-20.07.2050.</t>
  </si>
  <si>
    <t>A2/1/20/470</t>
  </si>
  <si>
    <t>Projekts “Romas ielas asfaltbetona seguma izbūve no Turaidas ielas līdz pilsētas administratīvajai robežai”</t>
  </si>
  <si>
    <t>04.08.2020.-20.07.2040.</t>
  </si>
  <si>
    <t>A2/1/20/501</t>
  </si>
  <si>
    <t>Projekts “Satiksmes ielas posma no Meiju ceļa līdz Ganību ielai braucamās daļas seguma atjaunošana”</t>
  </si>
  <si>
    <t>A2/1/20/502</t>
  </si>
  <si>
    <t>EKII projekts "Siltumnīcefekta gāzu emisiju samazināšana ar viedajām pilsētvides tehnoloģijām Jelgavā"</t>
  </si>
  <si>
    <t>20.08.2020.- 20.06.2050.</t>
  </si>
  <si>
    <t>A2/1/20/569</t>
  </si>
  <si>
    <t>Projekts "Pirmsskolas izglītības iestādes Brīvības bulvārī 31A, Jelgavā, būvniecība"</t>
  </si>
  <si>
    <t>02.10.2020.- 20.06.2050.</t>
  </si>
  <si>
    <t>A2/1/20/681</t>
  </si>
  <si>
    <t>Projekts "Asfaltbetona seguma atjaunošana Ruļļu ielas posmā no Salnas ielas līdz Viskaļu ielai"</t>
  </si>
  <si>
    <t>02.10.2020.-20.09.2040.</t>
  </si>
  <si>
    <t>A2/1/20/682</t>
  </si>
  <si>
    <t>Projekts "Gājēju ietves izbūve Kalnciema ceļa posmam no Rīgas ielas līdz Loka maģistrālei"</t>
  </si>
  <si>
    <t>02.10.2020.- 20.06.2040.</t>
  </si>
  <si>
    <t>A2/1/20/683</t>
  </si>
  <si>
    <t>03.12.2020.-21.11.2050.</t>
  </si>
  <si>
    <t>A2/1/20/845</t>
  </si>
  <si>
    <t>ERAF projekts “Jelgavas pilsētas pašvaldības policijas ēkas energoefektivitātes paaugstināšana”</t>
  </si>
  <si>
    <t>03.12.2020.-20.11.2040.</t>
  </si>
  <si>
    <t>A2/1/20/846</t>
  </si>
  <si>
    <t>Pamatsummu atmaksa 2021.g. pēc grafika</t>
  </si>
  <si>
    <t>16.03.2020.-20.02.2050.</t>
  </si>
  <si>
    <t>G/20/86</t>
  </si>
  <si>
    <t>Priekšfinansējuma atmaksas uz 04.02.2021.</t>
  </si>
  <si>
    <t>Kods</t>
  </si>
  <si>
    <t xml:space="preserve">Kopā pamatsummu maksājumi         </t>
  </si>
  <si>
    <t>Aizņēmumu līgumsumma kopā</t>
  </si>
  <si>
    <t>Pašu ieņēmumi saistību īpatsvara aprēķinam</t>
  </si>
  <si>
    <t>Galvojumu līgumsumma kopā</t>
  </si>
  <si>
    <t>SAISTĪBAS KOPĀ</t>
  </si>
  <si>
    <t>07.452. ESF projekts - 'Veselības veicināšana Jelgavā'</t>
  </si>
  <si>
    <t>JELGAVAS PILSĒTAS PAŠVALDĪBAS 2021.GADA PAMATBUDŽETS ATŠIFRĒJUMĀ PA PROGRAMMĀM UN EKONOMISKĀS KLASIFIKĀCIJAS KODIEM</t>
  </si>
  <si>
    <t>JELGAVAS PILSĒTAS PAŠVALDĪBAS 2021.GADA ZIEDOJUMU BUDŽETS ATŠIFRĒJUMĀ PA PROGRAMMĀM UN EKONOMISKĀS KLASIFIKĀCIJAS KODIEM</t>
  </si>
  <si>
    <t>Sabiedriskā transporta pakalpojumu nodrošināšana Jelgavas pilsētas administratīvajā teritorijā</t>
  </si>
  <si>
    <t>04.515. Sabiedriskā transporta pakalpojumu nodrošināšana Jelgavas pilsētas administratīvajā teritorijā</t>
  </si>
  <si>
    <t>Finansējums pašvaldības kapitālsabiedrībām vides aizsardzības pasākumu īstenošanai</t>
  </si>
  <si>
    <t>05.303. Finansējums pašvaldības kapitālsabiedrībām vides aizsardzības pasākumu īstenošanai</t>
  </si>
  <si>
    <t>SAISTOŠAJIEM NOTEIKUMIEM Nr.21-4</t>
  </si>
  <si>
    <t>04.02.2021.prot.Nr.2/2</t>
  </si>
  <si>
    <t>04.02.2021.prot. Nr.2/2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</si>
</sst>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.00\ &quot;Ls&quot;_-;\-* #,##0.00\ &quot;Ls&quot;_-;_-* &quot;-&quot;??\ &quot;Ls&quot;_-;_-@_-"/>
    <numFmt numFmtId="166" formatCode="_-* #,##0.00\ _L_s_-;\-* #,##0.00\ _L_s_-;_-* &quot;-&quot;??\ _L_s_-;_-@_-"/>
    <numFmt numFmtId="167" formatCode="0.000%"/>
    <numFmt numFmtId="168" formatCode="_-* #,##0\ _L_s_-;\-* #,##0\ _L_s_-;_-* &quot;-&quot;??\ _L_s_-;_-@_-"/>
    <numFmt numFmtId="169" formatCode="#,##0.00_ ;\-#,##0.00\ "/>
  </numFmts>
  <fonts count="8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4"/>
      <name val="Arial"/>
      <family val="2"/>
      <charset val="186"/>
    </font>
    <font>
      <sz val="12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i/>
      <sz val="11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i/>
      <sz val="11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1"/>
      <name val="Arial"/>
      <family val="2"/>
      <charset val="186"/>
    </font>
    <font>
      <b/>
      <sz val="11"/>
      <name val="Times New Roman Baltic"/>
      <charset val="186"/>
    </font>
    <font>
      <i/>
      <sz val="11"/>
      <name val="Times New Roman Baltic"/>
      <charset val="186"/>
    </font>
    <font>
      <i/>
      <sz val="11"/>
      <name val="Times New Roman"/>
      <family val="1"/>
    </font>
    <font>
      <i/>
      <sz val="11"/>
      <name val="Times New Roman Baltic"/>
      <family val="1"/>
      <charset val="186"/>
    </font>
    <font>
      <b/>
      <sz val="16"/>
      <name val="Times New Roman"/>
      <family val="1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sz val="14"/>
      <name val="Times New Roman Baltic"/>
      <family val="1"/>
      <charset val="186"/>
    </font>
    <font>
      <b/>
      <sz val="11"/>
      <name val="Times New Roman"/>
      <family val="1"/>
    </font>
    <font>
      <b/>
      <sz val="11"/>
      <name val="Times New Roman Baltic"/>
      <family val="1"/>
      <charset val="186"/>
    </font>
    <font>
      <sz val="10"/>
      <name val="Arial"/>
      <family val="2"/>
      <charset val="186"/>
    </font>
    <font>
      <b/>
      <sz val="12"/>
      <color rgb="FFFF0000"/>
      <name val="Times New Roman"/>
      <family val="1"/>
      <charset val="186"/>
    </font>
    <font>
      <i/>
      <sz val="12"/>
      <color rgb="FFFF0000"/>
      <name val="Times New Roman"/>
      <family val="1"/>
      <charset val="186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6"/>
      <color rgb="FFFF0000"/>
      <name val="Times New Roman"/>
      <family val="1"/>
      <charset val="186"/>
    </font>
    <font>
      <sz val="16"/>
      <color rgb="FFFF0000"/>
      <name val="Times New Roman"/>
      <family val="1"/>
      <charset val="186"/>
    </font>
    <font>
      <sz val="11"/>
      <color rgb="FFFF0000"/>
      <name val="Arial"/>
      <family val="2"/>
      <charset val="186"/>
    </font>
    <font>
      <sz val="13"/>
      <color rgb="FFFF0000"/>
      <name val="Arial"/>
      <family val="2"/>
      <charset val="186"/>
    </font>
    <font>
      <sz val="12"/>
      <color rgb="FFFF0000"/>
      <name val="Arial"/>
      <family val="2"/>
      <charset val="186"/>
    </font>
    <font>
      <b/>
      <sz val="13"/>
      <color rgb="FFFF0000"/>
      <name val="Arial"/>
      <family val="2"/>
      <charset val="186"/>
    </font>
    <font>
      <sz val="14"/>
      <color rgb="FFFF0000"/>
      <name val="Times New Roman"/>
      <family val="1"/>
      <charset val="186"/>
    </font>
    <font>
      <sz val="14"/>
      <color rgb="FFFF0000"/>
      <name val="Arial"/>
      <family val="2"/>
      <charset val="186"/>
    </font>
    <font>
      <sz val="16"/>
      <color rgb="FFFF0000"/>
      <name val="Times New Roman Baltic"/>
      <family val="1"/>
      <charset val="186"/>
    </font>
    <font>
      <sz val="10"/>
      <color rgb="FFFF0000"/>
      <name val="Times New Roman Baltic"/>
      <family val="1"/>
      <charset val="186"/>
    </font>
    <font>
      <b/>
      <sz val="14"/>
      <color rgb="FFFF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1B8E4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34" fillId="0" borderId="0"/>
    <xf numFmtId="0" fontId="34" fillId="0" borderId="0"/>
    <xf numFmtId="0" fontId="41" fillId="0" borderId="0"/>
    <xf numFmtId="0" fontId="37" fillId="0" borderId="0"/>
    <xf numFmtId="0" fontId="40" fillId="0" borderId="0"/>
    <xf numFmtId="0" fontId="34" fillId="0" borderId="0"/>
    <xf numFmtId="0" fontId="6" fillId="23" borderId="7" applyNumberFormat="0" applyFont="0" applyAlignment="0" applyProtection="0"/>
    <xf numFmtId="0" fontId="29" fillId="20" borderId="8" applyNumberFormat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/>
    <xf numFmtId="0" fontId="4" fillId="0" borderId="0"/>
    <xf numFmtId="0" fontId="6" fillId="0" borderId="0"/>
    <xf numFmtId="0" fontId="63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91">
    <xf numFmtId="0" fontId="0" fillId="0" borderId="0" xfId="0"/>
    <xf numFmtId="0" fontId="7" fillId="0" borderId="0" xfId="0" applyFont="1"/>
    <xf numFmtId="0" fontId="14" fillId="0" borderId="0" xfId="0" applyFont="1"/>
    <xf numFmtId="0" fontId="7" fillId="0" borderId="0" xfId="0" applyFont="1" applyBorder="1"/>
    <xf numFmtId="0" fontId="11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Fill="1" applyBorder="1" applyAlignment="1">
      <alignment horizontal="right"/>
    </xf>
    <xf numFmtId="0" fontId="11" fillId="0" borderId="0" xfId="0" applyFont="1" applyBorder="1"/>
    <xf numFmtId="0" fontId="43" fillId="0" borderId="0" xfId="0" applyFont="1" applyBorder="1"/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 wrapText="1" indent="2"/>
    </xf>
    <xf numFmtId="0" fontId="43" fillId="0" borderId="0" xfId="0" applyFont="1"/>
    <xf numFmtId="0" fontId="43" fillId="0" borderId="0" xfId="0" applyFont="1" applyAlignment="1">
      <alignment vertical="center" wrapText="1"/>
    </xf>
    <xf numFmtId="0" fontId="47" fillId="0" borderId="0" xfId="0" applyFont="1"/>
    <xf numFmtId="0" fontId="47" fillId="0" borderId="0" xfId="0" applyFont="1" applyAlignment="1">
      <alignment horizontal="center"/>
    </xf>
    <xf numFmtId="0" fontId="46" fillId="0" borderId="0" xfId="59" applyFont="1"/>
    <xf numFmtId="0" fontId="46" fillId="0" borderId="0" xfId="59" applyFont="1" applyAlignment="1">
      <alignment wrapText="1"/>
    </xf>
    <xf numFmtId="0" fontId="51" fillId="27" borderId="10" xfId="59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wrapText="1"/>
    </xf>
    <xf numFmtId="0" fontId="12" fillId="24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right" wrapText="1"/>
    </xf>
    <xf numFmtId="0" fontId="12" fillId="0" borderId="10" xfId="0" applyFont="1" applyFill="1" applyBorder="1"/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2"/>
    </xf>
    <xf numFmtId="0" fontId="13" fillId="0" borderId="10" xfId="0" applyFont="1" applyFill="1" applyBorder="1" applyAlignment="1">
      <alignment horizontal="left" wrapText="1" indent="2"/>
    </xf>
    <xf numFmtId="0" fontId="12" fillId="24" borderId="10" xfId="0" applyFont="1" applyFill="1" applyBorder="1"/>
    <xf numFmtId="0" fontId="11" fillId="0" borderId="10" xfId="0" applyFont="1" applyBorder="1"/>
    <xf numFmtId="0" fontId="11" fillId="0" borderId="10" xfId="0" applyFont="1" applyBorder="1" applyAlignment="1">
      <alignment wrapText="1"/>
    </xf>
    <xf numFmtId="0" fontId="11" fillId="0" borderId="10" xfId="0" applyFont="1" applyFill="1" applyBorder="1"/>
    <xf numFmtId="0" fontId="11" fillId="0" borderId="10" xfId="0" applyFont="1" applyFill="1" applyBorder="1" applyAlignment="1">
      <alignment wrapText="1"/>
    </xf>
    <xf numFmtId="0" fontId="8" fillId="0" borderId="0" xfId="0" applyFont="1"/>
    <xf numFmtId="0" fontId="7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/>
    <xf numFmtId="0" fontId="59" fillId="26" borderId="10" xfId="0" applyFont="1" applyFill="1" applyBorder="1"/>
    <xf numFmtId="0" fontId="6" fillId="0" borderId="0" xfId="0" applyFont="1"/>
    <xf numFmtId="0" fontId="60" fillId="0" borderId="0" xfId="0" applyFont="1"/>
    <xf numFmtId="3" fontId="14" fillId="0" borderId="0" xfId="0" applyNumberFormat="1" applyFont="1"/>
    <xf numFmtId="3" fontId="9" fillId="0" borderId="0" xfId="0" applyNumberFormat="1" applyFont="1" applyAlignment="1">
      <alignment horizontal="center"/>
    </xf>
    <xf numFmtId="0" fontId="60" fillId="0" borderId="0" xfId="0" applyFont="1" applyAlignment="1">
      <alignment horizontal="right"/>
    </xf>
    <xf numFmtId="0" fontId="53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24" borderId="10" xfId="0" applyFont="1" applyFill="1" applyBorder="1"/>
    <xf numFmtId="0" fontId="9" fillId="0" borderId="0" xfId="0" applyFont="1"/>
    <xf numFmtId="3" fontId="8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6" fillId="0" borderId="0" xfId="64" applyFont="1" applyFill="1"/>
    <xf numFmtId="0" fontId="7" fillId="0" borderId="0" xfId="64" applyFont="1" applyBorder="1"/>
    <xf numFmtId="0" fontId="6" fillId="0" borderId="0" xfId="64"/>
    <xf numFmtId="0" fontId="7" fillId="0" borderId="0" xfId="0" applyFont="1" applyFill="1" applyAlignment="1">
      <alignment horizontal="right"/>
    </xf>
    <xf numFmtId="0" fontId="12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right" vertical="center" wrapText="1"/>
    </xf>
    <xf numFmtId="3" fontId="44" fillId="31" borderId="10" xfId="0" applyNumberFormat="1" applyFont="1" applyFill="1" applyBorder="1" applyAlignment="1">
      <alignment horizontal="center" vertical="center"/>
    </xf>
    <xf numFmtId="3" fontId="48" fillId="31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 wrapText="1"/>
    </xf>
    <xf numFmtId="0" fontId="38" fillId="0" borderId="10" xfId="0" applyFont="1" applyBorder="1"/>
    <xf numFmtId="0" fontId="8" fillId="0" borderId="10" xfId="0" applyFont="1" applyFill="1" applyBorder="1"/>
    <xf numFmtId="0" fontId="58" fillId="26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2" fillId="0" borderId="0" xfId="0" applyFont="1" applyAlignment="1">
      <alignment vertical="center" wrapText="1"/>
    </xf>
    <xf numFmtId="0" fontId="13" fillId="0" borderId="10" xfId="0" applyFont="1" applyBorder="1" applyAlignment="1">
      <alignment horizontal="left" vertical="center" wrapText="1" indent="2"/>
    </xf>
    <xf numFmtId="0" fontId="13" fillId="0" borderId="10" xfId="0" applyFont="1" applyFill="1" applyBorder="1" applyAlignment="1">
      <alignment horizontal="left" vertical="center" wrapText="1" indent="2"/>
    </xf>
    <xf numFmtId="0" fontId="64" fillId="0" borderId="0" xfId="0" applyFont="1"/>
    <xf numFmtId="3" fontId="50" fillId="0" borderId="0" xfId="0" applyNumberFormat="1" applyFont="1"/>
    <xf numFmtId="49" fontId="13" fillId="0" borderId="10" xfId="0" applyNumberFormat="1" applyFont="1" applyFill="1" applyBorder="1" applyAlignment="1">
      <alignment horizontal="left" vertical="center" wrapText="1" indent="2"/>
    </xf>
    <xf numFmtId="0" fontId="62" fillId="0" borderId="10" xfId="0" applyFont="1" applyFill="1" applyBorder="1" applyAlignment="1">
      <alignment horizontal="left" vertical="center" wrapText="1" indent="1"/>
    </xf>
    <xf numFmtId="0" fontId="54" fillId="0" borderId="10" xfId="0" applyFont="1" applyFill="1" applyBorder="1" applyAlignment="1">
      <alignment horizontal="left" vertical="center" wrapText="1" indent="2"/>
    </xf>
    <xf numFmtId="0" fontId="56" fillId="0" borderId="10" xfId="0" applyFont="1" applyFill="1" applyBorder="1" applyAlignment="1">
      <alignment horizontal="left" vertical="center" wrapText="1" indent="2"/>
    </xf>
    <xf numFmtId="0" fontId="12" fillId="0" borderId="13" xfId="0" applyFont="1" applyBorder="1"/>
    <xf numFmtId="0" fontId="51" fillId="27" borderId="10" xfId="0" applyFont="1" applyFill="1" applyBorder="1" applyAlignment="1">
      <alignment horizontal="center" vertical="center" wrapText="1"/>
    </xf>
    <xf numFmtId="0" fontId="6" fillId="0" borderId="0" xfId="64" applyFont="1"/>
    <xf numFmtId="0" fontId="39" fillId="0" borderId="0" xfId="64" applyFont="1"/>
    <xf numFmtId="0" fontId="15" fillId="0" borderId="0" xfId="69" applyFont="1"/>
    <xf numFmtId="0" fontId="7" fillId="0" borderId="0" xfId="64" applyFont="1" applyAlignment="1">
      <alignment horizontal="center" vertical="center"/>
    </xf>
    <xf numFmtId="0" fontId="6" fillId="0" borderId="0" xfId="64" applyFont="1" applyAlignment="1">
      <alignment vertical="center"/>
    </xf>
    <xf numFmtId="0" fontId="12" fillId="0" borderId="10" xfId="0" applyFont="1" applyFill="1" applyBorder="1" applyAlignment="1">
      <alignment horizontal="left"/>
    </xf>
    <xf numFmtId="0" fontId="4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0" xfId="0" applyFont="1" applyAlignment="1">
      <alignment wrapText="1"/>
    </xf>
    <xf numFmtId="0" fontId="65" fillId="0" borderId="0" xfId="0" applyFont="1"/>
    <xf numFmtId="0" fontId="65" fillId="0" borderId="0" xfId="0" applyFont="1" applyAlignment="1">
      <alignment vertical="center"/>
    </xf>
    <xf numFmtId="0" fontId="65" fillId="0" borderId="0" xfId="0" applyFont="1" applyFill="1"/>
    <xf numFmtId="0" fontId="65" fillId="0" borderId="0" xfId="0" applyFont="1" applyAlignment="1">
      <alignment horizontal="left"/>
    </xf>
    <xf numFmtId="0" fontId="64" fillId="0" borderId="0" xfId="0" applyFont="1" applyBorder="1"/>
    <xf numFmtId="0" fontId="47" fillId="0" borderId="0" xfId="0" applyFont="1" applyBorder="1"/>
    <xf numFmtId="0" fontId="64" fillId="0" borderId="0" xfId="0" applyFont="1" applyFill="1" applyBorder="1"/>
    <xf numFmtId="0" fontId="64" fillId="0" borderId="0" xfId="0" applyFont="1" applyFill="1"/>
    <xf numFmtId="0" fontId="66" fillId="0" borderId="0" xfId="0" applyFont="1"/>
    <xf numFmtId="3" fontId="43" fillId="0" borderId="0" xfId="0" applyNumberFormat="1" applyFont="1" applyAlignment="1">
      <alignment horizontal="center"/>
    </xf>
    <xf numFmtId="0" fontId="45" fillId="0" borderId="0" xfId="0" applyFont="1"/>
    <xf numFmtId="3" fontId="43" fillId="0" borderId="0" xfId="0" applyNumberFormat="1" applyFont="1"/>
    <xf numFmtId="3" fontId="64" fillId="0" borderId="0" xfId="0" applyNumberFormat="1" applyFont="1"/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64" applyFont="1" applyFill="1"/>
    <xf numFmtId="0" fontId="8" fillId="0" borderId="0" xfId="64" applyFont="1" applyAlignment="1">
      <alignment vertical="center"/>
    </xf>
    <xf numFmtId="0" fontId="8" fillId="0" borderId="0" xfId="64" applyFont="1"/>
    <xf numFmtId="0" fontId="8" fillId="0" borderId="0" xfId="64" applyFont="1" applyAlignment="1">
      <alignment horizontal="right"/>
    </xf>
    <xf numFmtId="0" fontId="39" fillId="0" borderId="0" xfId="64" applyFont="1" applyAlignment="1"/>
    <xf numFmtId="0" fontId="7" fillId="0" borderId="0" xfId="64" applyFont="1" applyBorder="1" applyAlignment="1">
      <alignment wrapText="1"/>
    </xf>
    <xf numFmtId="0" fontId="46" fillId="0" borderId="0" xfId="59" applyFont="1" applyAlignment="1">
      <alignment horizontal="right" vertical="center"/>
    </xf>
    <xf numFmtId="0" fontId="13" fillId="0" borderId="13" xfId="0" applyFont="1" applyFill="1" applyBorder="1" applyAlignment="1">
      <alignment horizontal="left" wrapText="1" indent="2"/>
    </xf>
    <xf numFmtId="0" fontId="9" fillId="0" borderId="0" xfId="0" applyFont="1" applyAlignment="1">
      <alignment horizontal="left"/>
    </xf>
    <xf numFmtId="0" fontId="47" fillId="0" borderId="0" xfId="59" applyFont="1"/>
    <xf numFmtId="0" fontId="47" fillId="0" borderId="0" xfId="59" applyFont="1" applyAlignment="1">
      <alignment wrapText="1"/>
    </xf>
    <xf numFmtId="0" fontId="8" fillId="0" borderId="0" xfId="59" applyFont="1" applyAlignment="1">
      <alignment vertical="center"/>
    </xf>
    <xf numFmtId="0" fontId="46" fillId="0" borderId="0" xfId="59" applyFont="1" applyAlignment="1">
      <alignment vertical="center"/>
    </xf>
    <xf numFmtId="0" fontId="47" fillId="0" borderId="0" xfId="59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59" applyFont="1" applyAlignment="1">
      <alignment vertical="center"/>
    </xf>
    <xf numFmtId="0" fontId="7" fillId="0" borderId="0" xfId="59" applyFont="1" applyAlignment="1">
      <alignment horizontal="right" vertical="center"/>
    </xf>
    <xf numFmtId="0" fontId="12" fillId="26" borderId="10" xfId="0" applyFont="1" applyFill="1" applyBorder="1" applyAlignment="1">
      <alignment vertical="center" wrapText="1"/>
    </xf>
    <xf numFmtId="0" fontId="12" fillId="26" borderId="10" xfId="0" applyFont="1" applyFill="1" applyBorder="1" applyAlignment="1">
      <alignment wrapText="1"/>
    </xf>
    <xf numFmtId="0" fontId="7" fillId="27" borderId="10" xfId="59" applyFont="1" applyFill="1" applyBorder="1" applyAlignment="1">
      <alignment vertical="center"/>
    </xf>
    <xf numFmtId="0" fontId="10" fillId="27" borderId="10" xfId="59" applyFont="1" applyFill="1" applyBorder="1" applyAlignment="1">
      <alignment horizontal="right" wrapText="1"/>
    </xf>
    <xf numFmtId="0" fontId="11" fillId="0" borderId="10" xfId="59" applyFont="1" applyBorder="1" applyAlignment="1">
      <alignment vertical="center"/>
    </xf>
    <xf numFmtId="0" fontId="6" fillId="28" borderId="0" xfId="64" applyFont="1" applyFill="1"/>
    <xf numFmtId="0" fontId="7" fillId="0" borderId="0" xfId="64" applyFont="1" applyFill="1" applyAlignment="1">
      <alignment horizontal="right"/>
    </xf>
    <xf numFmtId="0" fontId="11" fillId="0" borderId="0" xfId="64" applyFont="1" applyFill="1" applyBorder="1" applyAlignment="1">
      <alignment horizontal="right"/>
    </xf>
    <xf numFmtId="0" fontId="68" fillId="0" borderId="0" xfId="64" applyFont="1" applyAlignment="1">
      <alignment vertical="center" wrapText="1"/>
    </xf>
    <xf numFmtId="0" fontId="69" fillId="0" borderId="0" xfId="64" applyFont="1"/>
    <xf numFmtId="0" fontId="69" fillId="0" borderId="0" xfId="64" applyFont="1" applyAlignment="1">
      <alignment horizontal="right"/>
    </xf>
    <xf numFmtId="0" fontId="10" fillId="26" borderId="0" xfId="64" applyFont="1" applyFill="1" applyAlignment="1">
      <alignment horizontal="center"/>
    </xf>
    <xf numFmtId="0" fontId="70" fillId="0" borderId="0" xfId="64" applyFont="1"/>
    <xf numFmtId="0" fontId="7" fillId="0" borderId="0" xfId="64" applyFont="1"/>
    <xf numFmtId="0" fontId="7" fillId="0" borderId="0" xfId="64" applyFont="1" applyAlignment="1">
      <alignment horizontal="right"/>
    </xf>
    <xf numFmtId="3" fontId="6" fillId="0" borderId="0" xfId="64" applyNumberFormat="1"/>
    <xf numFmtId="0" fontId="67" fillId="27" borderId="10" xfId="64" applyFont="1" applyFill="1" applyBorder="1" applyAlignment="1">
      <alignment horizontal="center" vertical="center"/>
    </xf>
    <xf numFmtId="0" fontId="68" fillId="27" borderId="10" xfId="64" applyFont="1" applyFill="1" applyBorder="1" applyAlignment="1">
      <alignment horizontal="center" vertical="center"/>
    </xf>
    <xf numFmtId="0" fontId="10" fillId="27" borderId="22" xfId="64" applyFont="1" applyFill="1" applyBorder="1" applyAlignment="1">
      <alignment horizontal="center" vertical="center"/>
    </xf>
    <xf numFmtId="0" fontId="67" fillId="26" borderId="10" xfId="64" applyFont="1" applyFill="1" applyBorder="1" applyAlignment="1">
      <alignment horizontal="center" vertical="center" wrapText="1"/>
    </xf>
    <xf numFmtId="3" fontId="10" fillId="26" borderId="10" xfId="64" applyNumberFormat="1" applyFont="1" applyFill="1" applyBorder="1"/>
    <xf numFmtId="0" fontId="68" fillId="0" borderId="10" xfId="64" applyFont="1" applyBorder="1"/>
    <xf numFmtId="0" fontId="68" fillId="0" borderId="10" xfId="64" applyFont="1" applyBorder="1" applyAlignment="1">
      <alignment vertical="center" wrapText="1"/>
    </xf>
    <xf numFmtId="3" fontId="7" fillId="0" borderId="10" xfId="64" applyNumberFormat="1" applyFont="1" applyBorder="1" applyAlignment="1">
      <alignment horizontal="right" vertical="center" wrapText="1"/>
    </xf>
    <xf numFmtId="3" fontId="7" fillId="0" borderId="10" xfId="64" applyNumberFormat="1" applyFont="1" applyFill="1" applyBorder="1" applyAlignment="1">
      <alignment horizontal="right" vertical="center"/>
    </xf>
    <xf numFmtId="0" fontId="67" fillId="26" borderId="10" xfId="64" applyFont="1" applyFill="1" applyBorder="1" applyAlignment="1">
      <alignment horizontal="center"/>
    </xf>
    <xf numFmtId="3" fontId="10" fillId="26" borderId="10" xfId="64" applyNumberFormat="1" applyFont="1" applyFill="1" applyBorder="1" applyAlignment="1">
      <alignment horizontal="right" vertical="center" wrapText="1"/>
    </xf>
    <xf numFmtId="0" fontId="68" fillId="0" borderId="10" xfId="64" applyFont="1" applyBorder="1" applyAlignment="1">
      <alignment vertical="center"/>
    </xf>
    <xf numFmtId="3" fontId="7" fillId="0" borderId="10" xfId="64" applyNumberFormat="1" applyFont="1" applyFill="1" applyBorder="1" applyAlignment="1">
      <alignment horizontal="right" vertical="center" wrapText="1"/>
    </xf>
    <xf numFmtId="3" fontId="7" fillId="0" borderId="10" xfId="64" applyNumberFormat="1" applyFont="1" applyFill="1" applyBorder="1" applyAlignment="1">
      <alignment horizontal="right"/>
    </xf>
    <xf numFmtId="0" fontId="68" fillId="0" borderId="10" xfId="64" applyFont="1" applyFill="1" applyBorder="1" applyAlignment="1">
      <alignment vertical="center" wrapText="1"/>
    </xf>
    <xf numFmtId="3" fontId="7" fillId="0" borderId="10" xfId="64" applyNumberFormat="1" applyFont="1" applyBorder="1"/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12" fillId="24" borderId="10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 wrapText="1"/>
    </xf>
    <xf numFmtId="0" fontId="38" fillId="27" borderId="10" xfId="59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/>
    </xf>
    <xf numFmtId="3" fontId="44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/>
    <xf numFmtId="0" fontId="45" fillId="0" borderId="0" xfId="0" applyFont="1" applyBorder="1"/>
    <xf numFmtId="0" fontId="45" fillId="24" borderId="10" xfId="0" applyFont="1" applyFill="1" applyBorder="1"/>
    <xf numFmtId="3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3" fontId="48" fillId="0" borderId="10" xfId="0" applyNumberFormat="1" applyFont="1" applyFill="1" applyBorder="1" applyAlignment="1">
      <alignment horizontal="center" vertical="center"/>
    </xf>
    <xf numFmtId="0" fontId="46" fillId="0" borderId="0" xfId="0" applyFont="1"/>
    <xf numFmtId="0" fontId="71" fillId="0" borderId="0" xfId="0" applyFont="1"/>
    <xf numFmtId="0" fontId="72" fillId="0" borderId="0" xfId="0" applyFont="1" applyBorder="1" applyAlignment="1"/>
    <xf numFmtId="0" fontId="73" fillId="0" borderId="0" xfId="0" applyFont="1" applyBorder="1" applyAlignment="1">
      <alignment horizontal="right"/>
    </xf>
    <xf numFmtId="0" fontId="74" fillId="0" borderId="0" xfId="0" applyFont="1"/>
    <xf numFmtId="0" fontId="75" fillId="0" borderId="0" xfId="0" applyFont="1"/>
    <xf numFmtId="3" fontId="71" fillId="0" borderId="0" xfId="0" applyNumberFormat="1" applyFont="1"/>
    <xf numFmtId="0" fontId="76" fillId="0" borderId="0" xfId="0" applyFont="1"/>
    <xf numFmtId="0" fontId="77" fillId="0" borderId="0" xfId="0" applyFont="1"/>
    <xf numFmtId="0" fontId="78" fillId="0" borderId="0" xfId="0" applyFont="1" applyBorder="1"/>
    <xf numFmtId="0" fontId="78" fillId="0" borderId="0" xfId="0" applyFont="1" applyBorder="1" applyAlignment="1">
      <alignment horizontal="left" wrapText="1" indent="1"/>
    </xf>
    <xf numFmtId="0" fontId="78" fillId="0" borderId="0" xfId="0" applyFont="1" applyBorder="1" applyAlignment="1">
      <alignment horizontal="center"/>
    </xf>
    <xf numFmtId="0" fontId="79" fillId="0" borderId="0" xfId="0" applyFont="1"/>
    <xf numFmtId="0" fontId="80" fillId="0" borderId="0" xfId="0" applyFont="1"/>
    <xf numFmtId="3" fontId="81" fillId="0" borderId="0" xfId="0" applyNumberFormat="1" applyFont="1"/>
    <xf numFmtId="0" fontId="11" fillId="0" borderId="10" xfId="0" applyFont="1" applyFill="1" applyBorder="1" applyAlignment="1">
      <alignment vertical="center" wrapText="1"/>
    </xf>
    <xf numFmtId="0" fontId="47" fillId="0" borderId="0" xfId="0" applyFont="1" applyAlignment="1">
      <alignment horizontal="right" vertical="center"/>
    </xf>
    <xf numFmtId="3" fontId="45" fillId="0" borderId="0" xfId="0" applyNumberFormat="1" applyFont="1"/>
    <xf numFmtId="0" fontId="43" fillId="0" borderId="0" xfId="0" applyFont="1" applyAlignment="1">
      <alignment horizontal="center"/>
    </xf>
    <xf numFmtId="0" fontId="82" fillId="0" borderId="0" xfId="59" applyFont="1" applyAlignment="1">
      <alignment horizontal="center" vertical="center" wrapText="1"/>
    </xf>
    <xf numFmtId="0" fontId="47" fillId="0" borderId="0" xfId="59" applyFont="1" applyFill="1" applyBorder="1" applyAlignment="1">
      <alignment vertical="center"/>
    </xf>
    <xf numFmtId="0" fontId="64" fillId="0" borderId="0" xfId="59" applyFont="1" applyFill="1" applyBorder="1" applyAlignment="1">
      <alignment horizontal="left" wrapText="1"/>
    </xf>
    <xf numFmtId="0" fontId="64" fillId="0" borderId="0" xfId="59" applyFont="1" applyFill="1" applyBorder="1" applyAlignment="1">
      <alignment horizontal="left" vertical="center" wrapText="1"/>
    </xf>
    <xf numFmtId="3" fontId="64" fillId="0" borderId="0" xfId="59" applyNumberFormat="1" applyFont="1" applyFill="1" applyBorder="1" applyAlignment="1">
      <alignment vertical="center"/>
    </xf>
    <xf numFmtId="3" fontId="11" fillId="0" borderId="10" xfId="59" applyNumberFormat="1" applyFont="1" applyBorder="1" applyAlignment="1">
      <alignment horizontal="right" vertical="center"/>
    </xf>
    <xf numFmtId="3" fontId="10" fillId="27" borderId="10" xfId="59" applyNumberFormat="1" applyFont="1" applyFill="1" applyBorder="1" applyAlignment="1">
      <alignment horizontal="right" vertical="center"/>
    </xf>
    <xf numFmtId="0" fontId="13" fillId="31" borderId="10" xfId="0" applyFont="1" applyFill="1" applyBorder="1" applyAlignment="1">
      <alignment horizontal="right" vertical="center" wrapText="1"/>
    </xf>
    <xf numFmtId="0" fontId="13" fillId="31" borderId="10" xfId="0" applyFont="1" applyFill="1" applyBorder="1" applyAlignment="1">
      <alignment horizontal="left" vertical="center" wrapText="1" indent="2"/>
    </xf>
    <xf numFmtId="3" fontId="12" fillId="2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wrapText="1"/>
    </xf>
    <xf numFmtId="3" fontId="45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horizontal="left" wrapText="1" indent="2"/>
    </xf>
    <xf numFmtId="3" fontId="44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horizontal="right" vertical="center" wrapText="1"/>
    </xf>
    <xf numFmtId="3" fontId="13" fillId="34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/>
    </xf>
    <xf numFmtId="3" fontId="12" fillId="30" borderId="10" xfId="0" applyNumberFormat="1" applyFont="1" applyFill="1" applyBorder="1" applyAlignment="1">
      <alignment horizontal="center" vertical="center"/>
    </xf>
    <xf numFmtId="3" fontId="13" fillId="30" borderId="10" xfId="0" applyNumberFormat="1" applyFont="1" applyFill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49" fontId="13" fillId="31" borderId="10" xfId="0" applyNumberFormat="1" applyFont="1" applyFill="1" applyBorder="1" applyAlignment="1">
      <alignment horizontal="right" vertical="center" wrapText="1"/>
    </xf>
    <xf numFmtId="3" fontId="12" fillId="24" borderId="10" xfId="0" applyNumberFormat="1" applyFont="1" applyFill="1" applyBorder="1" applyAlignment="1">
      <alignment horizontal="center"/>
    </xf>
    <xf numFmtId="3" fontId="10" fillId="24" borderId="10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3" fontId="33" fillId="31" borderId="10" xfId="0" applyNumberFormat="1" applyFont="1" applyFill="1" applyBorder="1" applyAlignment="1">
      <alignment horizontal="center" vertical="center"/>
    </xf>
    <xf numFmtId="3" fontId="13" fillId="31" borderId="10" xfId="0" applyNumberFormat="1" applyFont="1" applyFill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3" fontId="58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58" fillId="26" borderId="10" xfId="0" applyNumberFormat="1" applyFont="1" applyFill="1" applyBorder="1" applyAlignment="1">
      <alignment horizontal="center" vertical="center"/>
    </xf>
    <xf numFmtId="3" fontId="12" fillId="26" borderId="10" xfId="59" applyNumberFormat="1" applyFont="1" applyFill="1" applyBorder="1" applyAlignment="1">
      <alignment horizontal="right" vertical="center"/>
    </xf>
    <xf numFmtId="3" fontId="12" fillId="26" borderId="10" xfId="59" applyNumberFormat="1" applyFont="1" applyFill="1" applyBorder="1" applyAlignment="1">
      <alignment horizontal="right" vertical="center" wrapText="1"/>
    </xf>
    <xf numFmtId="3" fontId="13" fillId="0" borderId="10" xfId="59" applyNumberFormat="1" applyFont="1" applyBorder="1" applyAlignment="1">
      <alignment horizontal="right" vertical="center"/>
    </xf>
    <xf numFmtId="3" fontId="33" fillId="0" borderId="10" xfId="59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0" fontId="10" fillId="29" borderId="10" xfId="64" applyFont="1" applyFill="1" applyBorder="1" applyAlignment="1">
      <alignment horizontal="center" vertical="center" wrapText="1"/>
    </xf>
    <xf numFmtId="0" fontId="12" fillId="29" borderId="0" xfId="64" applyFont="1" applyFill="1" applyAlignment="1">
      <alignment horizontal="left" vertical="top" wrapText="1"/>
    </xf>
    <xf numFmtId="3" fontId="12" fillId="29" borderId="0" xfId="64" applyNumberFormat="1" applyFont="1" applyFill="1" applyAlignment="1">
      <alignment horizontal="right" vertical="top" wrapText="1"/>
    </xf>
    <xf numFmtId="0" fontId="11" fillId="29" borderId="0" xfId="64" applyFont="1" applyFill="1" applyAlignment="1">
      <alignment horizontal="left" vertical="top" wrapText="1"/>
    </xf>
    <xf numFmtId="3" fontId="11" fillId="29" borderId="0" xfId="64" applyNumberFormat="1" applyFont="1" applyFill="1" applyAlignment="1">
      <alignment horizontal="right" vertical="top" wrapText="1"/>
    </xf>
    <xf numFmtId="0" fontId="8" fillId="29" borderId="0" xfId="64" applyFont="1" applyFill="1" applyAlignment="1">
      <alignment horizontal="right" vertical="top" wrapText="1"/>
    </xf>
    <xf numFmtId="0" fontId="11" fillId="0" borderId="0" xfId="64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1" fillId="29" borderId="0" xfId="64" applyFont="1" applyFill="1" applyAlignment="1">
      <alignment horizontal="right" vertical="center" wrapText="1"/>
    </xf>
    <xf numFmtId="0" fontId="11" fillId="29" borderId="0" xfId="64" applyFont="1" applyFill="1" applyAlignment="1">
      <alignment horizontal="left" vertical="center" wrapText="1"/>
    </xf>
    <xf numFmtId="3" fontId="11" fillId="29" borderId="0" xfId="64" applyNumberFormat="1" applyFont="1" applyFill="1" applyAlignment="1">
      <alignment horizontal="right" vertical="center" wrapText="1"/>
    </xf>
    <xf numFmtId="0" fontId="8" fillId="29" borderId="0" xfId="64" applyFont="1" applyFill="1" applyAlignment="1">
      <alignment horizontal="right" vertical="center" wrapText="1"/>
    </xf>
    <xf numFmtId="0" fontId="38" fillId="0" borderId="0" xfId="64" applyFont="1" applyAlignment="1">
      <alignment vertical="center"/>
    </xf>
    <xf numFmtId="0" fontId="12" fillId="29" borderId="0" xfId="64" applyFont="1" applyFill="1" applyAlignment="1">
      <alignment horizontal="left" vertical="center" wrapText="1"/>
    </xf>
    <xf numFmtId="3" fontId="12" fillId="29" borderId="0" xfId="64" applyNumberFormat="1" applyFont="1" applyFill="1" applyAlignment="1">
      <alignment horizontal="right" vertical="center" wrapText="1"/>
    </xf>
    <xf numFmtId="0" fontId="38" fillId="28" borderId="0" xfId="64" applyFont="1" applyFill="1" applyAlignment="1">
      <alignment vertical="center"/>
    </xf>
    <xf numFmtId="0" fontId="12" fillId="28" borderId="0" xfId="64" applyFont="1" applyFill="1" applyAlignment="1">
      <alignment horizontal="left" vertical="center" wrapText="1"/>
    </xf>
    <xf numFmtId="3" fontId="12" fillId="28" borderId="0" xfId="64" applyNumberFormat="1" applyFont="1" applyFill="1" applyAlignment="1">
      <alignment horizontal="right" vertical="center" wrapText="1"/>
    </xf>
    <xf numFmtId="0" fontId="38" fillId="0" borderId="0" xfId="64" applyFont="1"/>
    <xf numFmtId="0" fontId="8" fillId="28" borderId="0" xfId="64" applyFont="1" applyFill="1" applyAlignment="1">
      <alignment vertical="center"/>
    </xf>
    <xf numFmtId="0" fontId="38" fillId="0" borderId="0" xfId="64" applyFont="1" applyFill="1" applyAlignment="1">
      <alignment vertical="center"/>
    </xf>
    <xf numFmtId="0" fontId="39" fillId="28" borderId="0" xfId="64" applyFont="1" applyFill="1"/>
    <xf numFmtId="0" fontId="12" fillId="28" borderId="0" xfId="64" applyFont="1" applyFill="1" applyAlignment="1">
      <alignment horizontal="left" vertical="top" wrapText="1"/>
    </xf>
    <xf numFmtId="3" fontId="12" fillId="28" borderId="0" xfId="64" applyNumberFormat="1" applyFont="1" applyFill="1" applyAlignment="1">
      <alignment horizontal="right" vertical="top" wrapText="1"/>
    </xf>
    <xf numFmtId="0" fontId="8" fillId="33" borderId="10" xfId="64" applyFont="1" applyFill="1" applyBorder="1" applyAlignment="1"/>
    <xf numFmtId="0" fontId="38" fillId="32" borderId="10" xfId="64" applyFont="1" applyFill="1" applyBorder="1" applyAlignment="1">
      <alignment horizontal="center"/>
    </xf>
    <xf numFmtId="0" fontId="38" fillId="0" borderId="0" xfId="64" applyFont="1" applyFill="1" applyBorder="1" applyAlignment="1">
      <alignment horizontal="center"/>
    </xf>
    <xf numFmtId="0" fontId="38" fillId="27" borderId="25" xfId="64" applyFont="1" applyFill="1" applyBorder="1" applyAlignment="1">
      <alignment horizontal="center" vertical="center"/>
    </xf>
    <xf numFmtId="0" fontId="38" fillId="27" borderId="31" xfId="64" applyFont="1" applyFill="1" applyBorder="1" applyAlignment="1">
      <alignment horizontal="center" vertical="center"/>
    </xf>
    <xf numFmtId="10" fontId="8" fillId="0" borderId="25" xfId="72" applyNumberFormat="1" applyFont="1" applyFill="1" applyBorder="1" applyAlignment="1">
      <alignment horizontal="center" vertical="center"/>
    </xf>
    <xf numFmtId="10" fontId="8" fillId="0" borderId="28" xfId="64" applyNumberFormat="1" applyFont="1" applyFill="1" applyBorder="1" applyAlignment="1">
      <alignment horizontal="center" vertical="center"/>
    </xf>
    <xf numFmtId="10" fontId="8" fillId="0" borderId="34" xfId="64" applyNumberFormat="1" applyFont="1" applyFill="1" applyBorder="1" applyAlignment="1">
      <alignment horizontal="center" vertical="center"/>
    </xf>
    <xf numFmtId="10" fontId="8" fillId="0" borderId="31" xfId="64" applyNumberFormat="1" applyFont="1" applyFill="1" applyBorder="1" applyAlignment="1">
      <alignment horizontal="center" vertical="center"/>
    </xf>
    <xf numFmtId="10" fontId="8" fillId="0" borderId="25" xfId="64" applyNumberFormat="1" applyFont="1" applyFill="1" applyBorder="1" applyAlignment="1">
      <alignment horizontal="center" vertical="center"/>
    </xf>
    <xf numFmtId="10" fontId="8" fillId="0" borderId="34" xfId="72" applyNumberFormat="1" applyFont="1" applyFill="1" applyBorder="1" applyAlignment="1">
      <alignment horizontal="center" vertical="center"/>
    </xf>
    <xf numFmtId="167" fontId="8" fillId="0" borderId="31" xfId="64" applyNumberFormat="1" applyFont="1" applyFill="1" applyBorder="1" applyAlignment="1">
      <alignment horizontal="center" vertical="center"/>
    </xf>
    <xf numFmtId="167" fontId="8" fillId="0" borderId="28" xfId="64" applyNumberFormat="1" applyFont="1" applyFill="1" applyBorder="1" applyAlignment="1">
      <alignment horizontal="center" vertical="center"/>
    </xf>
    <xf numFmtId="167" fontId="8" fillId="0" borderId="25" xfId="72" applyNumberFormat="1" applyFont="1" applyFill="1" applyBorder="1" applyAlignment="1">
      <alignment horizontal="center" vertical="center"/>
    </xf>
    <xf numFmtId="10" fontId="46" fillId="0" borderId="25" xfId="72" applyNumberFormat="1" applyFont="1" applyFill="1" applyBorder="1" applyAlignment="1">
      <alignment horizontal="center" vertical="center"/>
    </xf>
    <xf numFmtId="10" fontId="46" fillId="0" borderId="28" xfId="64" applyNumberFormat="1" applyFont="1" applyFill="1" applyBorder="1" applyAlignment="1">
      <alignment horizontal="center" vertical="center"/>
    </xf>
    <xf numFmtId="0" fontId="36" fillId="0" borderId="0" xfId="64" applyFont="1" applyAlignment="1">
      <alignment horizontal="center"/>
    </xf>
    <xf numFmtId="0" fontId="36" fillId="0" borderId="0" xfId="64" applyFont="1" applyAlignment="1">
      <alignment vertical="top"/>
    </xf>
    <xf numFmtId="10" fontId="8" fillId="0" borderId="11" xfId="64" applyNumberFormat="1" applyFont="1" applyFill="1" applyBorder="1" applyAlignment="1">
      <alignment horizontal="center"/>
    </xf>
    <xf numFmtId="167" fontId="8" fillId="0" borderId="12" xfId="64" applyNumberFormat="1" applyFont="1" applyFill="1" applyBorder="1" applyAlignment="1">
      <alignment horizontal="center"/>
    </xf>
    <xf numFmtId="3" fontId="8" fillId="0" borderId="0" xfId="64" applyNumberFormat="1" applyFont="1"/>
    <xf numFmtId="0" fontId="38" fillId="27" borderId="25" xfId="64" applyFont="1" applyFill="1" applyBorder="1" applyAlignment="1">
      <alignment vertical="center"/>
    </xf>
    <xf numFmtId="0" fontId="38" fillId="27" borderId="26" xfId="64" applyFont="1" applyFill="1" applyBorder="1" applyAlignment="1">
      <alignment horizontal="center" vertical="center"/>
    </xf>
    <xf numFmtId="0" fontId="38" fillId="27" borderId="32" xfId="64" applyFont="1" applyFill="1" applyBorder="1" applyAlignment="1">
      <alignment horizontal="center" vertical="center"/>
    </xf>
    <xf numFmtId="0" fontId="8" fillId="0" borderId="25" xfId="64" applyFont="1" applyFill="1" applyBorder="1" applyAlignment="1">
      <alignment horizontal="center" vertical="center" wrapText="1"/>
    </xf>
    <xf numFmtId="3" fontId="8" fillId="0" borderId="25" xfId="72" applyNumberFormat="1" applyFont="1" applyFill="1" applyBorder="1" applyAlignment="1">
      <alignment vertical="center"/>
    </xf>
    <xf numFmtId="3" fontId="8" fillId="0" borderId="40" xfId="72" applyNumberFormat="1" applyFont="1" applyFill="1" applyBorder="1" applyAlignment="1">
      <alignment vertical="center"/>
    </xf>
    <xf numFmtId="0" fontId="8" fillId="0" borderId="28" xfId="62" applyFont="1" applyFill="1" applyBorder="1" applyAlignment="1">
      <alignment horizontal="center" vertical="center"/>
    </xf>
    <xf numFmtId="3" fontId="8" fillId="0" borderId="28" xfId="72" applyNumberFormat="1" applyFont="1" applyFill="1" applyBorder="1" applyAlignment="1">
      <alignment vertical="center"/>
    </xf>
    <xf numFmtId="3" fontId="8" fillId="0" borderId="41" xfId="72" applyNumberFormat="1" applyFont="1" applyFill="1" applyBorder="1" applyAlignment="1">
      <alignment vertical="center"/>
    </xf>
    <xf numFmtId="0" fontId="8" fillId="0" borderId="34" xfId="64" applyFont="1" applyFill="1" applyBorder="1" applyAlignment="1">
      <alignment horizontal="center" vertical="center" wrapText="1"/>
    </xf>
    <xf numFmtId="3" fontId="8" fillId="0" borderId="34" xfId="64" applyNumberFormat="1" applyFont="1" applyFill="1" applyBorder="1"/>
    <xf numFmtId="3" fontId="8" fillId="0" borderId="34" xfId="64" applyNumberFormat="1" applyFont="1" applyFill="1" applyBorder="1" applyAlignment="1">
      <alignment vertical="center"/>
    </xf>
    <xf numFmtId="3" fontId="8" fillId="0" borderId="42" xfId="64" applyNumberFormat="1" applyFont="1" applyFill="1" applyBorder="1" applyAlignment="1">
      <alignment vertical="center"/>
    </xf>
    <xf numFmtId="0" fontId="8" fillId="0" borderId="31" xfId="64" applyFont="1" applyFill="1" applyBorder="1" applyAlignment="1">
      <alignment horizontal="center" vertical="center" wrapText="1"/>
    </xf>
    <xf numFmtId="3" fontId="8" fillId="0" borderId="31" xfId="64" applyNumberFormat="1" applyFont="1" applyFill="1" applyBorder="1"/>
    <xf numFmtId="3" fontId="8" fillId="0" borderId="31" xfId="64" applyNumberFormat="1" applyFont="1" applyFill="1" applyBorder="1" applyAlignment="1">
      <alignment vertical="center"/>
    </xf>
    <xf numFmtId="3" fontId="8" fillId="0" borderId="43" xfId="64" applyNumberFormat="1" applyFont="1" applyFill="1" applyBorder="1" applyAlignment="1">
      <alignment vertical="center"/>
    </xf>
    <xf numFmtId="3" fontId="8" fillId="0" borderId="25" xfId="64" applyNumberFormat="1" applyFont="1" applyFill="1" applyBorder="1"/>
    <xf numFmtId="3" fontId="8" fillId="0" borderId="25" xfId="64" applyNumberFormat="1" applyFont="1" applyFill="1" applyBorder="1" applyAlignment="1">
      <alignment vertical="center"/>
    </xf>
    <xf numFmtId="3" fontId="8" fillId="0" borderId="40" xfId="64" applyNumberFormat="1" applyFont="1" applyFill="1" applyBorder="1" applyAlignment="1">
      <alignment vertical="center"/>
    </xf>
    <xf numFmtId="0" fontId="8" fillId="0" borderId="28" xfId="64" applyFont="1" applyFill="1" applyBorder="1" applyAlignment="1">
      <alignment horizontal="center" vertical="center" wrapText="1"/>
    </xf>
    <xf numFmtId="3" fontId="8" fillId="0" borderId="28" xfId="64" applyNumberFormat="1" applyFont="1" applyFill="1" applyBorder="1"/>
    <xf numFmtId="3" fontId="8" fillId="0" borderId="28" xfId="64" applyNumberFormat="1" applyFont="1" applyFill="1" applyBorder="1" applyAlignment="1">
      <alignment vertical="center"/>
    </xf>
    <xf numFmtId="3" fontId="8" fillId="0" borderId="41" xfId="64" applyNumberFormat="1" applyFont="1" applyFill="1" applyBorder="1" applyAlignment="1">
      <alignment vertical="center"/>
    </xf>
    <xf numFmtId="3" fontId="8" fillId="0" borderId="34" xfId="65" applyNumberFormat="1" applyFont="1" applyFill="1" applyBorder="1" applyAlignment="1">
      <alignment horizontal="right" vertical="center"/>
    </xf>
    <xf numFmtId="3" fontId="8" fillId="0" borderId="42" xfId="65" applyNumberFormat="1" applyFont="1" applyFill="1" applyBorder="1" applyAlignment="1">
      <alignment horizontal="right" vertical="center"/>
    </xf>
    <xf numFmtId="0" fontId="6" fillId="30" borderId="0" xfId="64" applyFont="1" applyFill="1"/>
    <xf numFmtId="3" fontId="8" fillId="0" borderId="31" xfId="65" applyNumberFormat="1" applyFont="1" applyFill="1" applyBorder="1" applyAlignment="1">
      <alignment horizontal="right" vertical="center"/>
    </xf>
    <xf numFmtId="3" fontId="8" fillId="0" borderId="43" xfId="65" applyNumberFormat="1" applyFont="1" applyFill="1" applyBorder="1" applyAlignment="1">
      <alignment horizontal="right" vertical="center"/>
    </xf>
    <xf numFmtId="3" fontId="8" fillId="0" borderId="25" xfId="65" applyNumberFormat="1" applyFont="1" applyFill="1" applyBorder="1" applyAlignment="1">
      <alignment horizontal="right" vertical="center"/>
    </xf>
    <xf numFmtId="3" fontId="8" fillId="0" borderId="40" xfId="65" applyNumberFormat="1" applyFont="1" applyFill="1" applyBorder="1" applyAlignment="1">
      <alignment horizontal="right" vertical="center"/>
    </xf>
    <xf numFmtId="3" fontId="8" fillId="0" borderId="28" xfId="65" applyNumberFormat="1" applyFont="1" applyFill="1" applyBorder="1" applyAlignment="1">
      <alignment horizontal="right" vertical="center"/>
    </xf>
    <xf numFmtId="3" fontId="8" fillId="0" borderId="41" xfId="65" applyNumberFormat="1" applyFont="1" applyFill="1" applyBorder="1" applyAlignment="1">
      <alignment horizontal="right" vertical="center"/>
    </xf>
    <xf numFmtId="3" fontId="8" fillId="0" borderId="25" xfId="62" applyNumberFormat="1" applyFont="1" applyFill="1" applyBorder="1" applyAlignment="1">
      <alignment vertical="center"/>
    </xf>
    <xf numFmtId="3" fontId="8" fillId="0" borderId="40" xfId="62" applyNumberFormat="1" applyFont="1" applyFill="1" applyBorder="1" applyAlignment="1">
      <alignment vertical="center"/>
    </xf>
    <xf numFmtId="3" fontId="8" fillId="0" borderId="28" xfId="62" applyNumberFormat="1" applyFont="1" applyFill="1" applyBorder="1" applyAlignment="1">
      <alignment vertical="center"/>
    </xf>
    <xf numFmtId="3" fontId="8" fillId="0" borderId="41" xfId="62" applyNumberFormat="1" applyFont="1" applyFill="1" applyBorder="1" applyAlignment="1">
      <alignment vertical="center"/>
    </xf>
    <xf numFmtId="3" fontId="8" fillId="0" borderId="34" xfId="62" applyNumberFormat="1" applyFont="1" applyFill="1" applyBorder="1" applyAlignment="1">
      <alignment vertical="center"/>
    </xf>
    <xf numFmtId="3" fontId="8" fillId="0" borderId="42" xfId="62" applyNumberFormat="1" applyFont="1" applyFill="1" applyBorder="1" applyAlignment="1">
      <alignment vertical="center"/>
    </xf>
    <xf numFmtId="3" fontId="8" fillId="0" borderId="31" xfId="62" applyNumberFormat="1" applyFont="1" applyFill="1" applyBorder="1" applyAlignment="1">
      <alignment vertical="center"/>
    </xf>
    <xf numFmtId="3" fontId="8" fillId="0" borderId="43" xfId="62" applyNumberFormat="1" applyFont="1" applyFill="1" applyBorder="1" applyAlignment="1">
      <alignment vertical="center"/>
    </xf>
    <xf numFmtId="3" fontId="8" fillId="0" borderId="34" xfId="72" applyNumberFormat="1" applyFont="1" applyFill="1" applyBorder="1" applyAlignment="1">
      <alignment vertical="center"/>
    </xf>
    <xf numFmtId="3" fontId="8" fillId="0" borderId="31" xfId="72" applyNumberFormat="1" applyFont="1" applyFill="1" applyBorder="1" applyAlignment="1">
      <alignment vertical="center"/>
    </xf>
    <xf numFmtId="3" fontId="8" fillId="0" borderId="42" xfId="72" applyNumberFormat="1" applyFont="1" applyFill="1" applyBorder="1" applyAlignment="1">
      <alignment vertical="center"/>
    </xf>
    <xf numFmtId="0" fontId="8" fillId="0" borderId="31" xfId="62" applyFont="1" applyFill="1" applyBorder="1" applyAlignment="1">
      <alignment horizontal="center" vertical="center"/>
    </xf>
    <xf numFmtId="3" fontId="8" fillId="0" borderId="43" xfId="72" applyNumberFormat="1" applyFont="1" applyFill="1" applyBorder="1" applyAlignment="1">
      <alignment vertical="center"/>
    </xf>
    <xf numFmtId="0" fontId="8" fillId="0" borderId="0" xfId="64" applyFont="1" applyFill="1" applyBorder="1" applyAlignment="1"/>
    <xf numFmtId="0" fontId="8" fillId="0" borderId="34" xfId="64" applyFont="1" applyFill="1" applyBorder="1" applyAlignment="1">
      <alignment horizontal="center" wrapText="1"/>
    </xf>
    <xf numFmtId="3" fontId="36" fillId="0" borderId="34" xfId="72" applyNumberFormat="1" applyFont="1" applyFill="1" applyBorder="1" applyAlignment="1">
      <alignment vertical="center"/>
    </xf>
    <xf numFmtId="0" fontId="36" fillId="0" borderId="31" xfId="62" applyFont="1" applyFill="1" applyBorder="1"/>
    <xf numFmtId="3" fontId="36" fillId="0" borderId="31" xfId="72" applyNumberFormat="1" applyFont="1" applyFill="1" applyBorder="1" applyAlignment="1">
      <alignment vertical="center"/>
    </xf>
    <xf numFmtId="0" fontId="8" fillId="0" borderId="25" xfId="64" applyFont="1" applyFill="1" applyBorder="1" applyAlignment="1">
      <alignment horizontal="center" wrapText="1"/>
    </xf>
    <xf numFmtId="3" fontId="36" fillId="0" borderId="25" xfId="72" applyNumberFormat="1" applyFont="1" applyFill="1" applyBorder="1" applyAlignment="1">
      <alignment vertical="center"/>
    </xf>
    <xf numFmtId="0" fontId="36" fillId="0" borderId="28" xfId="62" applyFont="1" applyFill="1" applyBorder="1"/>
    <xf numFmtId="3" fontId="36" fillId="0" borderId="28" xfId="72" applyNumberFormat="1" applyFont="1" applyFill="1" applyBorder="1" applyAlignment="1">
      <alignment vertical="center"/>
    </xf>
    <xf numFmtId="0" fontId="8" fillId="32" borderId="10" xfId="64" applyFont="1" applyFill="1" applyBorder="1" applyAlignment="1"/>
    <xf numFmtId="3" fontId="38" fillId="32" borderId="10" xfId="64" applyNumberFormat="1" applyFont="1" applyFill="1" applyBorder="1" applyAlignment="1">
      <alignment horizontal="center"/>
    </xf>
    <xf numFmtId="3" fontId="38" fillId="32" borderId="10" xfId="64" applyNumberFormat="1" applyFont="1" applyFill="1" applyBorder="1" applyAlignment="1">
      <alignment horizontal="center" vertical="center"/>
    </xf>
    <xf numFmtId="10" fontId="8" fillId="32" borderId="10" xfId="67" applyNumberFormat="1" applyFont="1" applyFill="1" applyBorder="1" applyAlignment="1">
      <alignment horizontal="center"/>
    </xf>
    <xf numFmtId="10" fontId="8" fillId="32" borderId="10" xfId="67" applyNumberFormat="1" applyFont="1" applyFill="1" applyBorder="1" applyAlignment="1">
      <alignment horizontal="center" vertical="center"/>
    </xf>
    <xf numFmtId="10" fontId="8" fillId="33" borderId="10" xfId="67" applyNumberFormat="1" applyFont="1" applyFill="1" applyBorder="1" applyAlignment="1">
      <alignment horizontal="center" vertical="center"/>
    </xf>
    <xf numFmtId="10" fontId="38" fillId="32" borderId="10" xfId="67" applyNumberFormat="1" applyFont="1" applyFill="1" applyBorder="1" applyAlignment="1">
      <alignment horizontal="center" vertical="center"/>
    </xf>
    <xf numFmtId="10" fontId="38" fillId="0" borderId="0" xfId="67" applyNumberFormat="1" applyFont="1" applyFill="1" applyBorder="1" applyAlignment="1">
      <alignment horizontal="center"/>
    </xf>
    <xf numFmtId="10" fontId="8" fillId="0" borderId="0" xfId="67" applyNumberFormat="1" applyFont="1" applyFill="1" applyBorder="1" applyAlignment="1">
      <alignment horizontal="center"/>
    </xf>
    <xf numFmtId="4" fontId="8" fillId="0" borderId="0" xfId="64" applyNumberFormat="1" applyFont="1" applyBorder="1"/>
    <xf numFmtId="4" fontId="6" fillId="0" borderId="0" xfId="64" applyNumberFormat="1" applyFont="1"/>
    <xf numFmtId="0" fontId="36" fillId="0" borderId="0" xfId="64" applyFont="1" applyAlignment="1">
      <alignment vertical="center"/>
    </xf>
    <xf numFmtId="164" fontId="8" fillId="0" borderId="0" xfId="64" applyNumberFormat="1" applyFont="1"/>
    <xf numFmtId="4" fontId="38" fillId="0" borderId="10" xfId="64" applyNumberFormat="1" applyFont="1" applyBorder="1"/>
    <xf numFmtId="3" fontId="38" fillId="0" borderId="10" xfId="64" applyNumberFormat="1" applyFont="1" applyBorder="1"/>
    <xf numFmtId="4" fontId="38" fillId="0" borderId="20" xfId="64" applyNumberFormat="1" applyFont="1" applyBorder="1"/>
    <xf numFmtId="0" fontId="6" fillId="0" borderId="0" xfId="64" applyFont="1" applyFill="1" applyBorder="1"/>
    <xf numFmtId="0" fontId="6" fillId="0" borderId="0" xfId="64" applyFont="1" applyAlignment="1"/>
    <xf numFmtId="168" fontId="6" fillId="0" borderId="0" xfId="64" applyNumberFormat="1" applyFont="1"/>
    <xf numFmtId="0" fontId="8" fillId="0" borderId="11" xfId="64" applyFont="1" applyFill="1" applyBorder="1" applyAlignment="1">
      <alignment horizontal="center" wrapText="1"/>
    </xf>
    <xf numFmtId="0" fontId="8" fillId="0" borderId="11" xfId="64" applyFont="1" applyFill="1" applyBorder="1" applyAlignment="1">
      <alignment horizontal="center" vertical="center" wrapText="1"/>
    </xf>
    <xf numFmtId="3" fontId="8" fillId="0" borderId="11" xfId="64" applyNumberFormat="1" applyFont="1" applyFill="1" applyBorder="1"/>
    <xf numFmtId="3" fontId="8" fillId="0" borderId="14" xfId="64" applyNumberFormat="1" applyFont="1" applyFill="1" applyBorder="1"/>
    <xf numFmtId="0" fontId="8" fillId="0" borderId="12" xfId="64" applyFont="1" applyFill="1" applyBorder="1" applyAlignment="1">
      <alignment horizontal="center" wrapText="1"/>
    </xf>
    <xf numFmtId="0" fontId="8" fillId="0" borderId="12" xfId="64" applyFont="1" applyFill="1" applyBorder="1" applyAlignment="1">
      <alignment horizontal="center" vertical="center" wrapText="1"/>
    </xf>
    <xf numFmtId="3" fontId="8" fillId="0" borderId="12" xfId="64" applyNumberFormat="1" applyFont="1" applyFill="1" applyBorder="1"/>
    <xf numFmtId="3" fontId="8" fillId="0" borderId="15" xfId="64" applyNumberFormat="1" applyFont="1" applyFill="1" applyBorder="1"/>
    <xf numFmtId="168" fontId="38" fillId="0" borderId="0" xfId="64" applyNumberFormat="1" applyFont="1" applyFill="1" applyBorder="1" applyAlignment="1">
      <alignment horizontal="left"/>
    </xf>
    <xf numFmtId="0" fontId="38" fillId="0" borderId="0" xfId="64" applyFont="1" applyFill="1" applyBorder="1" applyAlignment="1">
      <alignment horizontal="left"/>
    </xf>
    <xf numFmtId="4" fontId="38" fillId="0" borderId="0" xfId="64" applyNumberFormat="1" applyFont="1" applyFill="1" applyBorder="1" applyAlignment="1">
      <alignment horizontal="center" vertical="center"/>
    </xf>
    <xf numFmtId="0" fontId="8" fillId="0" borderId="0" xfId="64" applyFont="1" applyBorder="1" applyAlignment="1">
      <alignment wrapText="1"/>
    </xf>
    <xf numFmtId="0" fontId="8" fillId="0" borderId="0" xfId="68" applyFont="1" applyBorder="1" applyProtection="1">
      <protection locked="0"/>
    </xf>
    <xf numFmtId="0" fontId="15" fillId="0" borderId="0" xfId="64" applyFont="1"/>
    <xf numFmtId="0" fontId="15" fillId="0" borderId="0" xfId="64" applyFont="1" applyFill="1"/>
    <xf numFmtId="0" fontId="15" fillId="0" borderId="0" xfId="64" applyFont="1" applyAlignment="1">
      <alignment vertical="center"/>
    </xf>
    <xf numFmtId="0" fontId="15" fillId="0" borderId="0" xfId="64" applyFont="1" applyFill="1" applyBorder="1"/>
    <xf numFmtId="4" fontId="15" fillId="0" borderId="0" xfId="64" applyNumberFormat="1" applyFont="1"/>
    <xf numFmtId="0" fontId="8" fillId="32" borderId="48" xfId="64" applyFont="1" applyFill="1" applyBorder="1" applyAlignment="1">
      <alignment horizontal="center"/>
    </xf>
    <xf numFmtId="3" fontId="38" fillId="33" borderId="10" xfId="64" applyNumberFormat="1" applyFont="1" applyFill="1" applyBorder="1" applyAlignment="1">
      <alignment horizontal="center"/>
    </xf>
    <xf numFmtId="10" fontId="8" fillId="0" borderId="25" xfId="64" applyNumberFormat="1" applyFont="1" applyFill="1" applyBorder="1" applyAlignment="1">
      <alignment horizontal="center"/>
    </xf>
    <xf numFmtId="0" fontId="8" fillId="0" borderId="28" xfId="64" applyFont="1" applyFill="1" applyBorder="1" applyAlignment="1">
      <alignment horizontal="center" wrapText="1"/>
    </xf>
    <xf numFmtId="167" fontId="8" fillId="0" borderId="28" xfId="64" applyNumberFormat="1" applyFont="1" applyFill="1" applyBorder="1" applyAlignment="1">
      <alignment horizontal="center"/>
    </xf>
    <xf numFmtId="3" fontId="38" fillId="32" borderId="49" xfId="64" applyNumberFormat="1" applyFont="1" applyFill="1" applyBorder="1" applyAlignment="1">
      <alignment horizontal="center" vertical="center"/>
    </xf>
    <xf numFmtId="0" fontId="8" fillId="32" borderId="48" xfId="64" applyFont="1" applyFill="1" applyBorder="1" applyAlignment="1">
      <alignment horizontal="left"/>
    </xf>
    <xf numFmtId="3" fontId="38" fillId="32" borderId="48" xfId="64" applyNumberFormat="1" applyFont="1" applyFill="1" applyBorder="1" applyAlignment="1">
      <alignment horizontal="center" vertical="center"/>
    </xf>
    <xf numFmtId="3" fontId="38" fillId="26" borderId="49" xfId="64" applyNumberFormat="1" applyFont="1" applyFill="1" applyBorder="1" applyAlignment="1">
      <alignment horizontal="center" vertical="center"/>
    </xf>
    <xf numFmtId="0" fontId="8" fillId="33" borderId="49" xfId="64" applyFont="1" applyFill="1" applyBorder="1" applyAlignment="1"/>
    <xf numFmtId="0" fontId="38" fillId="32" borderId="49" xfId="64" applyFont="1" applyFill="1" applyBorder="1" applyAlignment="1">
      <alignment horizontal="center"/>
    </xf>
    <xf numFmtId="10" fontId="8" fillId="32" borderId="49" xfId="67" applyNumberFormat="1" applyFont="1" applyFill="1" applyBorder="1" applyAlignment="1">
      <alignment horizontal="center" vertical="center"/>
    </xf>
    <xf numFmtId="10" fontId="8" fillId="33" borderId="49" xfId="67" applyNumberFormat="1" applyFont="1" applyFill="1" applyBorder="1" applyAlignment="1">
      <alignment horizontal="center" vertical="center"/>
    </xf>
    <xf numFmtId="0" fontId="38" fillId="32" borderId="49" xfId="64" applyFont="1" applyFill="1" applyBorder="1" applyAlignment="1">
      <alignment horizontal="center" vertical="center"/>
    </xf>
    <xf numFmtId="0" fontId="38" fillId="32" borderId="10" xfId="64" applyFont="1" applyFill="1" applyBorder="1" applyAlignment="1">
      <alignment horizontal="center" vertical="center"/>
    </xf>
    <xf numFmtId="3" fontId="49" fillId="0" borderId="0" xfId="64" applyNumberFormat="1" applyFont="1" applyFill="1" applyBorder="1" applyAlignment="1">
      <alignment vertical="center"/>
    </xf>
    <xf numFmtId="0" fontId="38" fillId="0" borderId="0" xfId="64" applyFont="1" applyFill="1" applyBorder="1" applyAlignment="1">
      <alignment horizontal="center" vertical="center"/>
    </xf>
    <xf numFmtId="10" fontId="38" fillId="0" borderId="0" xfId="67" applyNumberFormat="1" applyFont="1" applyFill="1" applyBorder="1" applyAlignment="1">
      <alignment horizontal="center" vertical="center"/>
    </xf>
    <xf numFmtId="4" fontId="8" fillId="0" borderId="0" xfId="64" applyNumberFormat="1" applyFont="1" applyBorder="1" applyAlignment="1">
      <alignment vertical="center"/>
    </xf>
    <xf numFmtId="4" fontId="6" fillId="0" borderId="0" xfId="64" applyNumberFormat="1" applyFont="1" applyAlignment="1">
      <alignment vertical="center"/>
    </xf>
    <xf numFmtId="3" fontId="38" fillId="0" borderId="10" xfId="64" applyNumberFormat="1" applyFont="1" applyBorder="1" applyAlignment="1">
      <alignment vertical="center"/>
    </xf>
    <xf numFmtId="168" fontId="6" fillId="0" borderId="0" xfId="64" applyNumberFormat="1" applyFont="1" applyAlignment="1">
      <alignment vertical="center"/>
    </xf>
    <xf numFmtId="3" fontId="8" fillId="0" borderId="11" xfId="64" applyNumberFormat="1" applyFont="1" applyFill="1" applyBorder="1" applyAlignment="1">
      <alignment vertical="center"/>
    </xf>
    <xf numFmtId="3" fontId="8" fillId="0" borderId="12" xfId="64" applyNumberFormat="1" applyFont="1" applyFill="1" applyBorder="1" applyAlignment="1">
      <alignment vertical="center"/>
    </xf>
    <xf numFmtId="0" fontId="15" fillId="0" borderId="0" xfId="64" applyFont="1" applyFill="1" applyBorder="1" applyAlignment="1">
      <alignment vertical="center"/>
    </xf>
    <xf numFmtId="0" fontId="8" fillId="0" borderId="0" xfId="68" applyFont="1" applyBorder="1" applyAlignment="1" applyProtection="1">
      <alignment vertical="center"/>
      <protection locked="0"/>
    </xf>
    <xf numFmtId="3" fontId="8" fillId="0" borderId="0" xfId="64" applyNumberFormat="1" applyFont="1" applyAlignment="1">
      <alignment vertical="center"/>
    </xf>
    <xf numFmtId="0" fontId="8" fillId="0" borderId="0" xfId="63" applyFont="1" applyAlignment="1">
      <alignment horizontal="right" vertical="center"/>
    </xf>
    <xf numFmtId="0" fontId="8" fillId="0" borderId="0" xfId="63" applyFont="1" applyFill="1" applyBorder="1" applyAlignment="1">
      <alignment horizontal="right" vertical="center"/>
    </xf>
    <xf numFmtId="3" fontId="8" fillId="35" borderId="34" xfId="72" applyNumberFormat="1" applyFont="1" applyFill="1" applyBorder="1" applyAlignment="1">
      <alignment vertical="center"/>
    </xf>
    <xf numFmtId="4" fontId="38" fillId="0" borderId="10" xfId="64" applyNumberFormat="1" applyFont="1" applyBorder="1" applyAlignment="1">
      <alignment vertical="center"/>
    </xf>
    <xf numFmtId="0" fontId="7" fillId="0" borderId="0" xfId="64" applyFont="1" applyBorder="1" applyAlignment="1">
      <alignment vertical="center"/>
    </xf>
    <xf numFmtId="0" fontId="6" fillId="0" borderId="0" xfId="64" applyFont="1" applyFill="1" applyBorder="1" applyAlignment="1">
      <alignment vertical="center"/>
    </xf>
    <xf numFmtId="0" fontId="8" fillId="0" borderId="0" xfId="68" applyFont="1" applyAlignment="1" applyProtection="1">
      <alignment vertical="center"/>
      <protection locked="0"/>
    </xf>
    <xf numFmtId="14" fontId="8" fillId="0" borderId="0" xfId="68" applyNumberFormat="1" applyFont="1" applyAlignment="1" applyProtection="1">
      <alignment vertical="center"/>
    </xf>
    <xf numFmtId="3" fontId="38" fillId="33" borderId="22" xfId="64" applyNumberFormat="1" applyFont="1" applyFill="1" applyBorder="1" applyAlignment="1">
      <alignment horizontal="center" vertical="center"/>
    </xf>
    <xf numFmtId="3" fontId="36" fillId="35" borderId="10" xfId="64" applyNumberFormat="1" applyFont="1" applyFill="1" applyBorder="1" applyAlignment="1">
      <alignment vertical="center"/>
    </xf>
    <xf numFmtId="3" fontId="36" fillId="0" borderId="10" xfId="64" applyNumberFormat="1" applyFont="1" applyBorder="1" applyAlignment="1">
      <alignment vertical="center"/>
    </xf>
    <xf numFmtId="0" fontId="36" fillId="0" borderId="0" xfId="64" applyFont="1" applyFill="1" applyAlignment="1"/>
    <xf numFmtId="0" fontId="36" fillId="0" borderId="0" xfId="64" applyFont="1" applyAlignment="1"/>
    <xf numFmtId="10" fontId="8" fillId="0" borderId="34" xfId="64" applyNumberFormat="1" applyFont="1" applyFill="1" applyBorder="1" applyAlignment="1">
      <alignment horizontal="center"/>
    </xf>
    <xf numFmtId="0" fontId="8" fillId="0" borderId="31" xfId="64" applyFont="1" applyFill="1" applyBorder="1" applyAlignment="1">
      <alignment horizontal="center" wrapText="1"/>
    </xf>
    <xf numFmtId="167" fontId="8" fillId="0" borderId="31" xfId="64" applyNumberFormat="1" applyFont="1" applyFill="1" applyBorder="1" applyAlignment="1">
      <alignment horizontal="center"/>
    </xf>
    <xf numFmtId="0" fontId="12" fillId="0" borderId="0" xfId="64" applyFont="1" applyAlignment="1">
      <alignment horizontal="center" vertical="center"/>
    </xf>
    <xf numFmtId="0" fontId="8" fillId="0" borderId="0" xfId="64" applyFont="1" applyFill="1" applyBorder="1"/>
    <xf numFmtId="4" fontId="8" fillId="0" borderId="0" xfId="64" applyNumberFormat="1" applyFont="1"/>
    <xf numFmtId="3" fontId="8" fillId="0" borderId="40" xfId="64" applyNumberFormat="1" applyFont="1" applyFill="1" applyBorder="1"/>
    <xf numFmtId="3" fontId="8" fillId="0" borderId="41" xfId="64" applyNumberFormat="1" applyFont="1" applyFill="1" applyBorder="1"/>
    <xf numFmtId="3" fontId="8" fillId="0" borderId="42" xfId="64" applyNumberFormat="1" applyFont="1" applyFill="1" applyBorder="1"/>
    <xf numFmtId="3" fontId="8" fillId="0" borderId="43" xfId="64" applyNumberFormat="1" applyFont="1" applyFill="1" applyBorder="1"/>
    <xf numFmtId="3" fontId="38" fillId="28" borderId="10" xfId="64" applyNumberFormat="1" applyFont="1" applyFill="1" applyBorder="1" applyAlignment="1">
      <alignment horizontal="center" vertical="center"/>
    </xf>
    <xf numFmtId="3" fontId="38" fillId="28" borderId="10" xfId="64" applyNumberFormat="1" applyFont="1" applyFill="1" applyBorder="1" applyAlignment="1">
      <alignment horizontal="right" vertical="center"/>
    </xf>
    <xf numFmtId="0" fontId="38" fillId="26" borderId="53" xfId="64" applyFont="1" applyFill="1" applyBorder="1" applyAlignment="1">
      <alignment horizontal="left"/>
    </xf>
    <xf numFmtId="3" fontId="38" fillId="26" borderId="53" xfId="64" applyNumberFormat="1" applyFont="1" applyFill="1" applyBorder="1" applyAlignment="1">
      <alignment horizontal="right" vertical="center"/>
    </xf>
    <xf numFmtId="0" fontId="8" fillId="26" borderId="49" xfId="64" applyFont="1" applyFill="1" applyBorder="1" applyAlignment="1"/>
    <xf numFmtId="4" fontId="38" fillId="26" borderId="49" xfId="64" applyNumberFormat="1" applyFont="1" applyFill="1" applyBorder="1" applyAlignment="1">
      <alignment horizontal="center" vertical="center"/>
    </xf>
    <xf numFmtId="10" fontId="38" fillId="33" borderId="10" xfId="73" applyNumberFormat="1" applyFont="1" applyFill="1" applyBorder="1" applyAlignment="1">
      <alignment horizontal="center" vertical="center"/>
    </xf>
    <xf numFmtId="0" fontId="38" fillId="33" borderId="10" xfId="64" applyFont="1" applyFill="1" applyBorder="1" applyAlignment="1">
      <alignment horizontal="center" vertical="center"/>
    </xf>
    <xf numFmtId="4" fontId="38" fillId="28" borderId="44" xfId="64" applyNumberFormat="1" applyFont="1" applyFill="1" applyBorder="1" applyAlignment="1">
      <alignment vertical="center"/>
    </xf>
    <xf numFmtId="4" fontId="38" fillId="28" borderId="45" xfId="64" applyNumberFormat="1" applyFont="1" applyFill="1" applyBorder="1" applyAlignment="1">
      <alignment vertical="center"/>
    </xf>
    <xf numFmtId="4" fontId="38" fillId="28" borderId="46" xfId="64" applyNumberFormat="1" applyFont="1" applyFill="1" applyBorder="1" applyAlignment="1">
      <alignment vertical="center"/>
    </xf>
    <xf numFmtId="4" fontId="38" fillId="28" borderId="47" xfId="64" applyNumberFormat="1" applyFont="1" applyFill="1" applyBorder="1" applyAlignment="1">
      <alignment vertical="center"/>
    </xf>
    <xf numFmtId="4" fontId="8" fillId="28" borderId="26" xfId="64" applyNumberFormat="1" applyFont="1" applyFill="1" applyBorder="1" applyAlignment="1">
      <alignment vertical="center"/>
    </xf>
    <xf numFmtId="4" fontId="8" fillId="28" borderId="29" xfId="64" applyNumberFormat="1" applyFont="1" applyFill="1" applyBorder="1" applyAlignment="1">
      <alignment vertical="center"/>
    </xf>
    <xf numFmtId="4" fontId="8" fillId="28" borderId="35" xfId="64" applyNumberFormat="1" applyFont="1" applyFill="1" applyBorder="1" applyAlignment="1">
      <alignment vertical="center"/>
    </xf>
    <xf numFmtId="4" fontId="8" fillId="28" borderId="32" xfId="64" applyNumberFormat="1" applyFont="1" applyFill="1" applyBorder="1" applyAlignment="1">
      <alignment vertical="center"/>
    </xf>
    <xf numFmtId="4" fontId="38" fillId="32" borderId="10" xfId="64" applyNumberFormat="1" applyFont="1" applyFill="1" applyBorder="1" applyAlignment="1">
      <alignment horizontal="center" vertical="center"/>
    </xf>
    <xf numFmtId="4" fontId="38" fillId="32" borderId="48" xfId="64" applyNumberFormat="1" applyFont="1" applyFill="1" applyBorder="1" applyAlignment="1">
      <alignment horizontal="center" vertical="center"/>
    </xf>
    <xf numFmtId="4" fontId="38" fillId="26" borderId="53" xfId="64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12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25" borderId="10" xfId="0" applyFont="1" applyFill="1" applyBorder="1" applyAlignment="1">
      <alignment horizontal="center" vertical="center"/>
    </xf>
    <xf numFmtId="0" fontId="52" fillId="25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 wrapText="1"/>
    </xf>
    <xf numFmtId="0" fontId="52" fillId="25" borderId="10" xfId="0" applyFont="1" applyFill="1" applyBorder="1" applyAlignment="1">
      <alignment vertical="center"/>
    </xf>
    <xf numFmtId="0" fontId="52" fillId="25" borderId="10" xfId="0" applyFont="1" applyFill="1" applyBorder="1" applyAlignment="1">
      <alignment horizontal="center" vertical="center" wrapText="1"/>
    </xf>
    <xf numFmtId="0" fontId="58" fillId="0" borderId="0" xfId="64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9" borderId="0" xfId="64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28" borderId="0" xfId="64" applyFont="1" applyFill="1" applyAlignment="1">
      <alignment horizontal="left" vertical="center" wrapText="1"/>
    </xf>
    <xf numFmtId="0" fontId="39" fillId="28" borderId="0" xfId="0" applyFont="1" applyFill="1" applyAlignment="1">
      <alignment horizontal="left" vertical="center" wrapText="1"/>
    </xf>
    <xf numFmtId="0" fontId="0" fillId="28" borderId="0" xfId="0" applyFill="1" applyAlignment="1">
      <alignment horizontal="left" vertical="center" wrapText="1"/>
    </xf>
    <xf numFmtId="0" fontId="12" fillId="29" borderId="21" xfId="64" applyFont="1" applyFill="1" applyBorder="1" applyAlignment="1">
      <alignment horizontal="center" vertical="center" wrapText="1"/>
    </xf>
    <xf numFmtId="0" fontId="10" fillId="29" borderId="18" xfId="64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8" fontId="38" fillId="32" borderId="49" xfId="64" applyNumberFormat="1" applyFont="1" applyFill="1" applyBorder="1" applyAlignment="1"/>
    <xf numFmtId="0" fontId="38" fillId="33" borderId="10" xfId="64" applyFont="1" applyFill="1" applyBorder="1" applyAlignment="1">
      <alignment horizontal="left"/>
    </xf>
    <xf numFmtId="0" fontId="38" fillId="33" borderId="18" xfId="64" applyFont="1" applyFill="1" applyBorder="1" applyAlignment="1">
      <alignment horizontal="left"/>
    </xf>
    <xf numFmtId="0" fontId="38" fillId="33" borderId="13" xfId="64" applyFont="1" applyFill="1" applyBorder="1" applyAlignment="1">
      <alignment horizontal="left"/>
    </xf>
    <xf numFmtId="0" fontId="38" fillId="33" borderId="19" xfId="64" applyFont="1" applyFill="1" applyBorder="1" applyAlignment="1">
      <alignment horizontal="left"/>
    </xf>
    <xf numFmtId="168" fontId="38" fillId="33" borderId="18" xfId="64" applyNumberFormat="1" applyFont="1" applyFill="1" applyBorder="1" applyAlignment="1">
      <alignment horizontal="left" vertical="center"/>
    </xf>
    <xf numFmtId="168" fontId="38" fillId="33" borderId="13" xfId="64" applyNumberFormat="1" applyFont="1" applyFill="1" applyBorder="1" applyAlignment="1">
      <alignment horizontal="left" vertical="center"/>
    </xf>
    <xf numFmtId="168" fontId="38" fillId="33" borderId="19" xfId="64" applyNumberFormat="1" applyFont="1" applyFill="1" applyBorder="1" applyAlignment="1">
      <alignment horizontal="left" vertical="center"/>
    </xf>
    <xf numFmtId="168" fontId="38" fillId="33" borderId="50" xfId="64" applyNumberFormat="1" applyFont="1" applyFill="1" applyBorder="1" applyAlignment="1">
      <alignment horizontal="left" vertical="center"/>
    </xf>
    <xf numFmtId="168" fontId="38" fillId="33" borderId="51" xfId="64" applyNumberFormat="1" applyFont="1" applyFill="1" applyBorder="1" applyAlignment="1">
      <alignment horizontal="left" vertical="center"/>
    </xf>
    <xf numFmtId="168" fontId="38" fillId="33" borderId="52" xfId="64" applyNumberFormat="1" applyFont="1" applyFill="1" applyBorder="1" applyAlignment="1">
      <alignment horizontal="left" vertical="center"/>
    </xf>
    <xf numFmtId="168" fontId="38" fillId="26" borderId="54" xfId="64" applyNumberFormat="1" applyFont="1" applyFill="1" applyBorder="1" applyAlignment="1">
      <alignment horizontal="left" vertical="center"/>
    </xf>
    <xf numFmtId="168" fontId="38" fillId="26" borderId="55" xfId="64" applyNumberFormat="1" applyFont="1" applyFill="1" applyBorder="1" applyAlignment="1">
      <alignment horizontal="left" vertical="center"/>
    </xf>
    <xf numFmtId="168" fontId="38" fillId="26" borderId="56" xfId="64" applyNumberFormat="1" applyFont="1" applyFill="1" applyBorder="1" applyAlignment="1">
      <alignment horizontal="left" vertical="center"/>
    </xf>
    <xf numFmtId="168" fontId="38" fillId="33" borderId="10" xfId="64" applyNumberFormat="1" applyFont="1" applyFill="1" applyBorder="1" applyAlignment="1">
      <alignment horizontal="left"/>
    </xf>
    <xf numFmtId="168" fontId="38" fillId="32" borderId="48" xfId="64" applyNumberFormat="1" applyFont="1" applyFill="1" applyBorder="1" applyAlignment="1">
      <alignment horizontal="left"/>
    </xf>
    <xf numFmtId="168" fontId="38" fillId="26" borderId="49" xfId="64" applyNumberFormat="1" applyFont="1" applyFill="1" applyBorder="1" applyAlignment="1">
      <alignment horizontal="left"/>
    </xf>
    <xf numFmtId="0" fontId="36" fillId="0" borderId="10" xfId="64" applyFont="1" applyFill="1" applyBorder="1" applyAlignment="1">
      <alignment horizontal="right"/>
    </xf>
    <xf numFmtId="0" fontId="38" fillId="33" borderId="38" xfId="64" applyFont="1" applyFill="1" applyBorder="1" applyAlignment="1">
      <alignment horizontal="left" vertical="center"/>
    </xf>
    <xf numFmtId="0" fontId="38" fillId="33" borderId="21" xfId="64" applyFont="1" applyFill="1" applyBorder="1" applyAlignment="1">
      <alignment horizontal="left" vertical="center"/>
    </xf>
    <xf numFmtId="0" fontId="38" fillId="33" borderId="39" xfId="64" applyFont="1" applyFill="1" applyBorder="1" applyAlignment="1">
      <alignment horizontal="left" vertical="center"/>
    </xf>
    <xf numFmtId="0" fontId="8" fillId="0" borderId="0" xfId="64" applyFont="1" applyAlignment="1">
      <alignment horizontal="right"/>
    </xf>
    <xf numFmtId="168" fontId="38" fillId="33" borderId="10" xfId="64" applyNumberFormat="1" applyFont="1" applyFill="1" applyBorder="1" applyAlignment="1"/>
    <xf numFmtId="168" fontId="38" fillId="32" borderId="48" xfId="64" applyNumberFormat="1" applyFont="1" applyFill="1" applyBorder="1" applyAlignment="1"/>
    <xf numFmtId="0" fontId="38" fillId="0" borderId="0" xfId="64" applyFont="1" applyAlignment="1">
      <alignment horizontal="center"/>
    </xf>
    <xf numFmtId="0" fontId="8" fillId="0" borderId="16" xfId="64" applyFont="1" applyFill="1" applyBorder="1" applyAlignment="1">
      <alignment horizontal="center"/>
    </xf>
    <xf numFmtId="0" fontId="8" fillId="0" borderId="17" xfId="64" applyFont="1" applyFill="1" applyBorder="1" applyAlignment="1">
      <alignment horizontal="center"/>
    </xf>
    <xf numFmtId="3" fontId="8" fillId="0" borderId="11" xfId="64" applyNumberFormat="1" applyFont="1" applyFill="1" applyBorder="1" applyAlignment="1">
      <alignment horizontal="center" vertical="center" wrapText="1"/>
    </xf>
    <xf numFmtId="0" fontId="8" fillId="0" borderId="12" xfId="64" applyFont="1" applyFill="1" applyBorder="1" applyAlignment="1">
      <alignment horizontal="center" vertical="center" wrapText="1"/>
    </xf>
    <xf numFmtId="169" fontId="8" fillId="0" borderId="11" xfId="65" applyNumberFormat="1" applyFont="1" applyFill="1" applyBorder="1" applyAlignment="1">
      <alignment horizontal="center" vertical="center"/>
    </xf>
    <xf numFmtId="169" fontId="8" fillId="0" borderId="12" xfId="65" applyNumberFormat="1" applyFont="1" applyFill="1" applyBorder="1" applyAlignment="1">
      <alignment horizontal="center" vertical="center"/>
    </xf>
    <xf numFmtId="0" fontId="8" fillId="0" borderId="11" xfId="64" applyFont="1" applyFill="1" applyBorder="1" applyAlignment="1">
      <alignment horizontal="center" wrapText="1"/>
    </xf>
    <xf numFmtId="0" fontId="8" fillId="0" borderId="12" xfId="64" applyFont="1" applyFill="1" applyBorder="1" applyAlignment="1">
      <alignment horizontal="center" wrapText="1"/>
    </xf>
    <xf numFmtId="0" fontId="8" fillId="0" borderId="33" xfId="64" applyFont="1" applyFill="1" applyBorder="1" applyAlignment="1">
      <alignment horizontal="center"/>
    </xf>
    <xf numFmtId="0" fontId="8" fillId="0" borderId="30" xfId="64" applyFont="1" applyFill="1" applyBorder="1" applyAlignment="1">
      <alignment horizontal="center"/>
    </xf>
    <xf numFmtId="0" fontId="8" fillId="0" borderId="34" xfId="64" applyFont="1" applyFill="1" applyBorder="1" applyAlignment="1">
      <alignment horizontal="center" vertical="center" wrapText="1"/>
    </xf>
    <xf numFmtId="0" fontId="8" fillId="0" borderId="31" xfId="64" applyFont="1" applyFill="1" applyBorder="1" applyAlignment="1">
      <alignment horizontal="center" vertical="center" wrapText="1"/>
    </xf>
    <xf numFmtId="169" fontId="8" fillId="0" borderId="34" xfId="65" applyNumberFormat="1" applyFont="1" applyFill="1" applyBorder="1" applyAlignment="1">
      <alignment horizontal="center" vertical="center"/>
    </xf>
    <xf numFmtId="169" fontId="8" fillId="0" borderId="31" xfId="65" applyNumberFormat="1" applyFont="1" applyFill="1" applyBorder="1" applyAlignment="1">
      <alignment horizontal="center" vertical="center"/>
    </xf>
    <xf numFmtId="0" fontId="8" fillId="0" borderId="34" xfId="64" applyFont="1" applyFill="1" applyBorder="1" applyAlignment="1">
      <alignment horizontal="center" wrapText="1"/>
    </xf>
    <xf numFmtId="0" fontId="8" fillId="0" borderId="31" xfId="64" applyFont="1" applyFill="1" applyBorder="1" applyAlignment="1">
      <alignment horizontal="center" wrapText="1"/>
    </xf>
    <xf numFmtId="0" fontId="8" fillId="0" borderId="24" xfId="64" applyFont="1" applyFill="1" applyBorder="1" applyAlignment="1">
      <alignment horizontal="center"/>
    </xf>
    <xf numFmtId="0" fontId="8" fillId="0" borderId="27" xfId="64" applyFont="1" applyFill="1" applyBorder="1" applyAlignment="1">
      <alignment horizontal="center"/>
    </xf>
    <xf numFmtId="0" fontId="8" fillId="0" borderId="25" xfId="64" applyFont="1" applyFill="1" applyBorder="1" applyAlignment="1">
      <alignment horizontal="center" vertical="center" wrapText="1"/>
    </xf>
    <xf numFmtId="0" fontId="8" fillId="0" borderId="28" xfId="64" applyFont="1" applyFill="1" applyBorder="1" applyAlignment="1">
      <alignment horizontal="center" vertical="center" wrapText="1"/>
    </xf>
    <xf numFmtId="169" fontId="8" fillId="0" borderId="25" xfId="65" applyNumberFormat="1" applyFont="1" applyFill="1" applyBorder="1" applyAlignment="1">
      <alignment horizontal="center" vertical="center"/>
    </xf>
    <xf numFmtId="169" fontId="8" fillId="0" borderId="28" xfId="65" applyNumberFormat="1" applyFont="1" applyFill="1" applyBorder="1" applyAlignment="1">
      <alignment horizontal="center" vertical="center"/>
    </xf>
    <xf numFmtId="0" fontId="8" fillId="0" borderId="25" xfId="64" applyFont="1" applyFill="1" applyBorder="1" applyAlignment="1">
      <alignment horizontal="center" wrapText="1"/>
    </xf>
    <xf numFmtId="0" fontId="8" fillId="0" borderId="28" xfId="64" applyFont="1" applyFill="1" applyBorder="1" applyAlignment="1">
      <alignment horizontal="center" wrapText="1"/>
    </xf>
    <xf numFmtId="0" fontId="36" fillId="0" borderId="10" xfId="64" applyFont="1" applyBorder="1" applyAlignment="1">
      <alignment horizontal="right"/>
    </xf>
    <xf numFmtId="0" fontId="36" fillId="0" borderId="0" xfId="64" applyFont="1" applyAlignment="1">
      <alignment horizontal="center"/>
    </xf>
    <xf numFmtId="0" fontId="38" fillId="33" borderId="18" xfId="64" applyFont="1" applyFill="1" applyBorder="1" applyAlignment="1">
      <alignment horizontal="left" vertical="center"/>
    </xf>
    <xf numFmtId="0" fontId="38" fillId="33" borderId="13" xfId="64" applyFont="1" applyFill="1" applyBorder="1" applyAlignment="1">
      <alignment horizontal="left" vertical="center"/>
    </xf>
    <xf numFmtId="0" fontId="38" fillId="33" borderId="19" xfId="64" applyFont="1" applyFill="1" applyBorder="1" applyAlignment="1">
      <alignment horizontal="left" vertical="center"/>
    </xf>
    <xf numFmtId="0" fontId="36" fillId="0" borderId="34" xfId="62" applyFont="1" applyFill="1" applyBorder="1" applyAlignment="1">
      <alignment horizontal="center" vertical="center" wrapText="1"/>
    </xf>
    <xf numFmtId="0" fontId="36" fillId="0" borderId="31" xfId="62" applyFont="1" applyFill="1" applyBorder="1" applyAlignment="1">
      <alignment horizontal="center" vertical="center" wrapText="1"/>
    </xf>
    <xf numFmtId="4" fontId="36" fillId="0" borderId="34" xfId="65" applyNumberFormat="1" applyFont="1" applyFill="1" applyBorder="1" applyAlignment="1">
      <alignment horizontal="center" vertical="center"/>
    </xf>
    <xf numFmtId="4" fontId="36" fillId="0" borderId="31" xfId="65" applyNumberFormat="1" applyFont="1" applyFill="1" applyBorder="1" applyAlignment="1">
      <alignment horizontal="center" vertical="center"/>
    </xf>
    <xf numFmtId="0" fontId="36" fillId="0" borderId="34" xfId="64" applyFont="1" applyFill="1" applyBorder="1" applyAlignment="1">
      <alignment horizontal="center" vertical="center" wrapText="1"/>
    </xf>
    <xf numFmtId="0" fontId="36" fillId="0" borderId="31" xfId="64" applyFont="1" applyFill="1" applyBorder="1" applyAlignment="1">
      <alignment horizontal="center" vertical="center" wrapText="1"/>
    </xf>
    <xf numFmtId="0" fontId="8" fillId="0" borderId="24" xfId="64" applyFont="1" applyFill="1" applyBorder="1" applyAlignment="1">
      <alignment horizontal="center" vertical="center"/>
    </xf>
    <xf numFmtId="0" fontId="8" fillId="0" borderId="27" xfId="64" applyFont="1" applyFill="1" applyBorder="1" applyAlignment="1">
      <alignment horizontal="center" vertical="center"/>
    </xf>
    <xf numFmtId="0" fontId="8" fillId="0" borderId="25" xfId="62" applyFont="1" applyFill="1" applyBorder="1" applyAlignment="1">
      <alignment horizontal="center" vertical="center" wrapText="1"/>
    </xf>
    <xf numFmtId="0" fontId="8" fillId="0" borderId="28" xfId="62" applyFont="1" applyFill="1" applyBorder="1" applyAlignment="1">
      <alignment horizontal="center" vertical="center" wrapText="1"/>
    </xf>
    <xf numFmtId="4" fontId="8" fillId="0" borderId="25" xfId="65" applyNumberFormat="1" applyFont="1" applyFill="1" applyBorder="1" applyAlignment="1">
      <alignment horizontal="center" vertical="center"/>
    </xf>
    <xf numFmtId="4" fontId="8" fillId="0" borderId="28" xfId="65" applyNumberFormat="1" applyFont="1" applyFill="1" applyBorder="1" applyAlignment="1">
      <alignment horizontal="center" vertical="center"/>
    </xf>
    <xf numFmtId="0" fontId="83" fillId="0" borderId="25" xfId="64" applyFont="1" applyFill="1" applyBorder="1" applyAlignment="1">
      <alignment horizontal="center" vertical="center" wrapText="1"/>
    </xf>
    <xf numFmtId="0" fontId="83" fillId="0" borderId="28" xfId="64" applyFont="1" applyFill="1" applyBorder="1" applyAlignment="1">
      <alignment horizontal="center" vertical="center" wrapText="1"/>
    </xf>
    <xf numFmtId="0" fontId="36" fillId="0" borderId="25" xfId="62" applyFont="1" applyFill="1" applyBorder="1" applyAlignment="1">
      <alignment horizontal="center" vertical="center" wrapText="1"/>
    </xf>
    <xf numFmtId="0" fontId="36" fillId="0" borderId="28" xfId="62" applyFont="1" applyFill="1" applyBorder="1" applyAlignment="1">
      <alignment horizontal="center" vertical="center" wrapText="1"/>
    </xf>
    <xf numFmtId="4" fontId="36" fillId="0" borderId="25" xfId="65" applyNumberFormat="1" applyFont="1" applyFill="1" applyBorder="1" applyAlignment="1">
      <alignment horizontal="center" vertical="center"/>
    </xf>
    <xf numFmtId="4" fontId="36" fillId="0" borderId="28" xfId="65" applyNumberFormat="1" applyFont="1" applyFill="1" applyBorder="1" applyAlignment="1">
      <alignment horizontal="center" vertical="center"/>
    </xf>
    <xf numFmtId="0" fontId="36" fillId="0" borderId="25" xfId="64" applyFont="1" applyFill="1" applyBorder="1" applyAlignment="1">
      <alignment horizontal="center" vertical="center" wrapText="1"/>
    </xf>
    <xf numFmtId="0" fontId="36" fillId="0" borderId="28" xfId="64" applyFont="1" applyFill="1" applyBorder="1" applyAlignment="1">
      <alignment horizontal="center" vertical="center" wrapText="1"/>
    </xf>
    <xf numFmtId="0" fontId="8" fillId="0" borderId="33" xfId="64" applyFont="1" applyFill="1" applyBorder="1" applyAlignment="1">
      <alignment horizontal="center" vertical="center"/>
    </xf>
    <xf numFmtId="0" fontId="8" fillId="0" borderId="30" xfId="64" applyFont="1" applyFill="1" applyBorder="1" applyAlignment="1">
      <alignment horizontal="center" vertical="center"/>
    </xf>
    <xf numFmtId="0" fontId="8" fillId="0" borderId="34" xfId="62" applyFont="1" applyFill="1" applyBorder="1" applyAlignment="1">
      <alignment horizontal="center" vertical="center" wrapText="1"/>
    </xf>
    <xf numFmtId="0" fontId="8" fillId="0" borderId="31" xfId="62" applyFont="1" applyFill="1" applyBorder="1" applyAlignment="1">
      <alignment horizontal="center" vertical="center" wrapText="1"/>
    </xf>
    <xf numFmtId="4" fontId="8" fillId="0" borderId="34" xfId="65" applyNumberFormat="1" applyFont="1" applyFill="1" applyBorder="1" applyAlignment="1">
      <alignment horizontal="center" vertical="center"/>
    </xf>
    <xf numFmtId="4" fontId="8" fillId="0" borderId="31" xfId="65" applyNumberFormat="1" applyFont="1" applyFill="1" applyBorder="1" applyAlignment="1">
      <alignment horizontal="center" vertical="center"/>
    </xf>
    <xf numFmtId="4" fontId="8" fillId="0" borderId="34" xfId="65" applyNumberFormat="1" applyFont="1" applyFill="1" applyBorder="1" applyAlignment="1">
      <alignment horizontal="center" vertical="center" wrapText="1"/>
    </xf>
    <xf numFmtId="4" fontId="8" fillId="0" borderId="31" xfId="65" applyNumberFormat="1" applyFont="1" applyFill="1" applyBorder="1" applyAlignment="1">
      <alignment horizontal="center" vertical="center" wrapText="1"/>
    </xf>
    <xf numFmtId="3" fontId="8" fillId="0" borderId="34" xfId="62" applyNumberFormat="1" applyFont="1" applyFill="1" applyBorder="1" applyAlignment="1">
      <alignment horizontal="center" vertical="center" wrapText="1"/>
    </xf>
    <xf numFmtId="3" fontId="8" fillId="0" borderId="25" xfId="62" applyNumberFormat="1" applyFont="1" applyFill="1" applyBorder="1" applyAlignment="1">
      <alignment horizontal="center" vertical="center" wrapText="1"/>
    </xf>
    <xf numFmtId="4" fontId="8" fillId="0" borderId="25" xfId="65" applyNumberFormat="1" applyFont="1" applyFill="1" applyBorder="1" applyAlignment="1">
      <alignment horizontal="center" vertical="center" wrapText="1"/>
    </xf>
    <xf numFmtId="4" fontId="8" fillId="0" borderId="28" xfId="65" applyNumberFormat="1" applyFont="1" applyFill="1" applyBorder="1" applyAlignment="1">
      <alignment horizontal="center" vertical="center" wrapText="1"/>
    </xf>
    <xf numFmtId="14" fontId="8" fillId="0" borderId="34" xfId="64" applyNumberFormat="1" applyFont="1" applyFill="1" applyBorder="1" applyAlignment="1">
      <alignment horizontal="center" vertical="center" wrapText="1"/>
    </xf>
    <xf numFmtId="0" fontId="10" fillId="0" borderId="0" xfId="62" applyFont="1" applyBorder="1" applyAlignment="1">
      <alignment horizontal="center"/>
    </xf>
    <xf numFmtId="0" fontId="38" fillId="27" borderId="24" xfId="64" applyFont="1" applyFill="1" applyBorder="1" applyAlignment="1">
      <alignment horizontal="center" vertical="center" wrapText="1"/>
    </xf>
    <xf numFmtId="0" fontId="38" fillId="27" borderId="30" xfId="64" applyFont="1" applyFill="1" applyBorder="1" applyAlignment="1">
      <alignment horizontal="center" vertical="center" wrapText="1"/>
    </xf>
    <xf numFmtId="0" fontId="38" fillId="27" borderId="25" xfId="64" applyFont="1" applyFill="1" applyBorder="1" applyAlignment="1">
      <alignment horizontal="center" vertical="center" wrapText="1"/>
    </xf>
    <xf numFmtId="0" fontId="38" fillId="27" borderId="31" xfId="64" applyFont="1" applyFill="1" applyBorder="1" applyAlignment="1">
      <alignment horizontal="center" vertical="center" wrapText="1"/>
    </xf>
    <xf numFmtId="0" fontId="38" fillId="27" borderId="25" xfId="64" applyFont="1" applyFill="1" applyBorder="1" applyAlignment="1">
      <alignment horizontal="center" vertical="center"/>
    </xf>
    <xf numFmtId="0" fontId="38" fillId="27" borderId="31" xfId="64" applyFont="1" applyFill="1" applyBorder="1" applyAlignment="1">
      <alignment horizontal="center" vertical="center"/>
    </xf>
    <xf numFmtId="0" fontId="38" fillId="27" borderId="36" xfId="64" applyFont="1" applyFill="1" applyBorder="1" applyAlignment="1">
      <alignment horizontal="center" vertical="center"/>
    </xf>
    <xf numFmtId="0" fontId="38" fillId="27" borderId="37" xfId="64" applyFont="1" applyFill="1" applyBorder="1" applyAlignment="1">
      <alignment horizontal="center" vertical="center"/>
    </xf>
    <xf numFmtId="0" fontId="7" fillId="0" borderId="0" xfId="59" applyFont="1" applyAlignment="1">
      <alignment horizontal="left" wrapText="1"/>
    </xf>
    <xf numFmtId="0" fontId="50" fillId="0" borderId="0" xfId="59" applyFont="1" applyAlignment="1">
      <alignment horizontal="center" vertical="center" wrapText="1"/>
    </xf>
    <xf numFmtId="0" fontId="38" fillId="27" borderId="10" xfId="59" applyFont="1" applyFill="1" applyBorder="1" applyAlignment="1">
      <alignment horizontal="center" vertical="center" wrapText="1"/>
    </xf>
    <xf numFmtId="0" fontId="11" fillId="0" borderId="10" xfId="59" applyFont="1" applyBorder="1" applyAlignment="1">
      <alignment horizontal="left" vertical="center" wrapText="1"/>
    </xf>
    <xf numFmtId="0" fontId="10" fillId="27" borderId="10" xfId="59" applyFont="1" applyFill="1" applyBorder="1" applyAlignment="1">
      <alignment horizontal="left" wrapText="1"/>
    </xf>
    <xf numFmtId="0" fontId="10" fillId="0" borderId="21" xfId="59" applyFont="1" applyBorder="1" applyAlignment="1">
      <alignment horizontal="center"/>
    </xf>
    <xf numFmtId="0" fontId="10" fillId="29" borderId="0" xfId="64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28" borderId="23" xfId="64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0" fillId="28" borderId="0" xfId="64" applyFont="1" applyFill="1" applyAlignment="1">
      <alignment horizontal="left" vertical="top" wrapText="1"/>
    </xf>
    <xf numFmtId="0" fontId="39" fillId="28" borderId="0" xfId="0" applyFont="1" applyFill="1" applyAlignment="1">
      <alignment horizontal="left" vertical="top" wrapText="1"/>
    </xf>
    <xf numFmtId="0" fontId="0" fillId="28" borderId="0" xfId="0" applyFill="1" applyAlignment="1">
      <alignment horizontal="left" vertical="top" wrapText="1"/>
    </xf>
    <xf numFmtId="0" fontId="67" fillId="0" borderId="0" xfId="64" applyFont="1" applyAlignment="1">
      <alignment horizontal="center" vertical="center" wrapText="1"/>
    </xf>
  </cellXfs>
  <cellStyles count="7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Comma 2 2" xfId="29"/>
    <cellStyle name="Comma_Pašvaldības saistības 2" xfId="65"/>
    <cellStyle name="Currency 2" xfId="30"/>
    <cellStyle name="Currency 2 2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2 2" xfId="42"/>
    <cellStyle name="Normal 2 2 2" xfId="64"/>
    <cellStyle name="Normal 3" xfId="43"/>
    <cellStyle name="Normal 3 2" xfId="63"/>
    <cellStyle name="Normal 4" xfId="44"/>
    <cellStyle name="Normal 5" xfId="45"/>
    <cellStyle name="Normal 5 2" xfId="46"/>
    <cellStyle name="Normal 5 2 2" xfId="62"/>
    <cellStyle name="Normal 6" xfId="58"/>
    <cellStyle name="Normal 6 2" xfId="66"/>
    <cellStyle name="Normal 6 2 2" xfId="70"/>
    <cellStyle name="Normal 6 2 3" xfId="72"/>
    <cellStyle name="Normal 7" xfId="59"/>
    <cellStyle name="Normal 8" xfId="60"/>
    <cellStyle name="Normal 9" xfId="61"/>
    <cellStyle name="Normal 9 2" xfId="69"/>
    <cellStyle name="Normal_Pamatformas 2" xfId="68"/>
    <cellStyle name="Note" xfId="47" builtinId="10" customBuiltin="1"/>
    <cellStyle name="Output" xfId="48" builtinId="21" customBuiltin="1"/>
    <cellStyle name="Percent 2" xfId="49"/>
    <cellStyle name="Percent 2 2" xfId="50"/>
    <cellStyle name="Percent 2 3" xfId="71"/>
    <cellStyle name="Percent 3" xfId="51"/>
    <cellStyle name="Percent 3 2" xfId="52"/>
    <cellStyle name="Percent 4" xfId="53"/>
    <cellStyle name="Percent 4 2" xfId="67"/>
    <cellStyle name="Percent 5" xfId="54"/>
    <cellStyle name="Percent 6" xfId="73"/>
    <cellStyle name="Title" xfId="55" builtinId="15" customBuiltin="1"/>
    <cellStyle name="Total" xfId="56" builtinId="25" customBuiltin="1"/>
    <cellStyle name="Warning Text" xfId="57" builtinId="11" customBuiltin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0"/>
  <sheetViews>
    <sheetView topLeftCell="A65" zoomScale="90" zoomScaleNormal="90" workbookViewId="0">
      <selection activeCell="F5" sqref="F5"/>
    </sheetView>
  </sheetViews>
  <sheetFormatPr defaultRowHeight="15" x14ac:dyDescent="0.25"/>
  <cols>
    <col min="1" max="1" width="12.140625" style="13" customWidth="1"/>
    <col min="2" max="2" width="62.42578125" style="13" customWidth="1"/>
    <col min="3" max="3" width="13.7109375" style="181" customWidth="1"/>
    <col min="4" max="16384" width="9.140625" style="13"/>
  </cols>
  <sheetData>
    <row r="1" spans="1:3" x14ac:dyDescent="0.25">
      <c r="A1" s="8"/>
      <c r="B1" s="8"/>
      <c r="C1" s="170" t="s">
        <v>79</v>
      </c>
    </row>
    <row r="2" spans="1:3" x14ac:dyDescent="0.25">
      <c r="A2" s="8"/>
      <c r="B2" s="458" t="s">
        <v>866</v>
      </c>
      <c r="C2" s="458"/>
    </row>
    <row r="3" spans="1:3" x14ac:dyDescent="0.25">
      <c r="A3" s="8"/>
      <c r="B3" s="458" t="s">
        <v>867</v>
      </c>
      <c r="C3" s="458"/>
    </row>
    <row r="4" spans="1:3" x14ac:dyDescent="0.25">
      <c r="A4" s="9"/>
      <c r="B4" s="9"/>
      <c r="C4" s="10"/>
    </row>
    <row r="5" spans="1:3" x14ac:dyDescent="0.25">
      <c r="A5" s="459" t="s">
        <v>724</v>
      </c>
      <c r="B5" s="459"/>
      <c r="C5" s="459"/>
    </row>
    <row r="6" spans="1:3" x14ac:dyDescent="0.25">
      <c r="A6" s="8"/>
      <c r="B6" s="171" t="s">
        <v>19</v>
      </c>
      <c r="C6" s="58"/>
    </row>
    <row r="7" spans="1:3" x14ac:dyDescent="0.25">
      <c r="A7" s="9"/>
      <c r="B7" s="11"/>
      <c r="C7" s="58"/>
    </row>
    <row r="8" spans="1:3" ht="29.25" x14ac:dyDescent="0.25">
      <c r="A8" s="20" t="s">
        <v>197</v>
      </c>
      <c r="B8" s="173" t="s">
        <v>121</v>
      </c>
      <c r="C8" s="173" t="s">
        <v>725</v>
      </c>
    </row>
    <row r="9" spans="1:3" x14ac:dyDescent="0.25">
      <c r="A9" s="21"/>
      <c r="B9" s="22" t="s">
        <v>153</v>
      </c>
      <c r="C9" s="212">
        <f>C10+C20+C44+C54</f>
        <v>78112214</v>
      </c>
    </row>
    <row r="10" spans="1:3" x14ac:dyDescent="0.25">
      <c r="A10" s="21"/>
      <c r="B10" s="22" t="s">
        <v>149</v>
      </c>
      <c r="C10" s="212">
        <f>C11+C13+C17</f>
        <v>40772709</v>
      </c>
    </row>
    <row r="11" spans="1:3" x14ac:dyDescent="0.25">
      <c r="A11" s="63" t="s">
        <v>39</v>
      </c>
      <c r="B11" s="33" t="s">
        <v>20</v>
      </c>
      <c r="C11" s="213">
        <f>C12</f>
        <v>36940906</v>
      </c>
    </row>
    <row r="12" spans="1:3" ht="30" x14ac:dyDescent="0.25">
      <c r="A12" s="64" t="s">
        <v>181</v>
      </c>
      <c r="B12" s="34" t="s">
        <v>726</v>
      </c>
      <c r="C12" s="214">
        <v>36940906</v>
      </c>
    </row>
    <row r="13" spans="1:3" x14ac:dyDescent="0.25">
      <c r="A13" s="65" t="s">
        <v>198</v>
      </c>
      <c r="B13" s="33" t="s">
        <v>21</v>
      </c>
      <c r="C13" s="213">
        <f>C14+C15+C16</f>
        <v>3720000</v>
      </c>
    </row>
    <row r="14" spans="1:3" x14ac:dyDescent="0.25">
      <c r="A14" s="64" t="s">
        <v>199</v>
      </c>
      <c r="B14" s="34" t="s">
        <v>22</v>
      </c>
      <c r="C14" s="214">
        <v>1433561</v>
      </c>
    </row>
    <row r="15" spans="1:3" x14ac:dyDescent="0.25">
      <c r="A15" s="66" t="s">
        <v>200</v>
      </c>
      <c r="B15" s="35" t="s">
        <v>122</v>
      </c>
      <c r="C15" s="215">
        <v>1435393</v>
      </c>
    </row>
    <row r="16" spans="1:3" x14ac:dyDescent="0.25">
      <c r="A16" s="66" t="s">
        <v>201</v>
      </c>
      <c r="B16" s="35" t="s">
        <v>177</v>
      </c>
      <c r="C16" s="215">
        <v>851046</v>
      </c>
    </row>
    <row r="17" spans="1:3" x14ac:dyDescent="0.25">
      <c r="A17" s="182" t="s">
        <v>32</v>
      </c>
      <c r="B17" s="33" t="s">
        <v>727</v>
      </c>
      <c r="C17" s="216">
        <f>C18+C19</f>
        <v>111803</v>
      </c>
    </row>
    <row r="18" spans="1:3" x14ac:dyDescent="0.25">
      <c r="A18" s="64" t="s">
        <v>202</v>
      </c>
      <c r="B18" s="34" t="s">
        <v>0</v>
      </c>
      <c r="C18" s="214">
        <v>91803</v>
      </c>
    </row>
    <row r="19" spans="1:3" x14ac:dyDescent="0.25">
      <c r="A19" s="64" t="s">
        <v>271</v>
      </c>
      <c r="B19" s="34" t="s">
        <v>638</v>
      </c>
      <c r="C19" s="214">
        <v>20000</v>
      </c>
    </row>
    <row r="20" spans="1:3" x14ac:dyDescent="0.25">
      <c r="A20" s="21"/>
      <c r="B20" s="22" t="s">
        <v>150</v>
      </c>
      <c r="C20" s="212">
        <f>C21+C34+C38+C41</f>
        <v>321987</v>
      </c>
    </row>
    <row r="21" spans="1:3" x14ac:dyDescent="0.25">
      <c r="A21" s="65" t="s">
        <v>35</v>
      </c>
      <c r="B21" s="33" t="s">
        <v>23</v>
      </c>
      <c r="C21" s="213">
        <f>C22+C26</f>
        <v>67100</v>
      </c>
    </row>
    <row r="22" spans="1:3" x14ac:dyDescent="0.25">
      <c r="A22" s="67" t="s">
        <v>203</v>
      </c>
      <c r="B22" s="28" t="s">
        <v>1</v>
      </c>
      <c r="C22" s="213">
        <f>SUM(C24+C25+C23)</f>
        <v>16000</v>
      </c>
    </row>
    <row r="23" spans="1:3" ht="30" x14ac:dyDescent="0.25">
      <c r="A23" s="64" t="s">
        <v>204</v>
      </c>
      <c r="B23" s="34" t="s">
        <v>243</v>
      </c>
      <c r="C23" s="217">
        <v>3000</v>
      </c>
    </row>
    <row r="24" spans="1:3" ht="45" x14ac:dyDescent="0.25">
      <c r="A24" s="64" t="s">
        <v>205</v>
      </c>
      <c r="B24" s="34" t="s">
        <v>274</v>
      </c>
      <c r="C24" s="214">
        <v>9000</v>
      </c>
    </row>
    <row r="25" spans="1:3" ht="15" customHeight="1" x14ac:dyDescent="0.25">
      <c r="A25" s="64" t="s">
        <v>206</v>
      </c>
      <c r="B25" s="34" t="s">
        <v>140</v>
      </c>
      <c r="C25" s="214">
        <v>4000</v>
      </c>
    </row>
    <row r="26" spans="1:3" x14ac:dyDescent="0.25">
      <c r="A26" s="67" t="s">
        <v>207</v>
      </c>
      <c r="B26" s="28" t="s">
        <v>2</v>
      </c>
      <c r="C26" s="213">
        <f>SUM(C27:C33)</f>
        <v>51100</v>
      </c>
    </row>
    <row r="27" spans="1:3" ht="30" x14ac:dyDescent="0.25">
      <c r="A27" s="64" t="s">
        <v>85</v>
      </c>
      <c r="B27" s="34" t="s">
        <v>275</v>
      </c>
      <c r="C27" s="214">
        <v>7400</v>
      </c>
    </row>
    <row r="28" spans="1:3" ht="30" x14ac:dyDescent="0.25">
      <c r="A28" s="64" t="s">
        <v>86</v>
      </c>
      <c r="B28" s="34" t="s">
        <v>123</v>
      </c>
      <c r="C28" s="214">
        <v>500</v>
      </c>
    </row>
    <row r="29" spans="1:3" x14ac:dyDescent="0.25">
      <c r="A29" s="64" t="s">
        <v>103</v>
      </c>
      <c r="B29" s="34" t="s">
        <v>124</v>
      </c>
      <c r="C29" s="214">
        <v>3000</v>
      </c>
    </row>
    <row r="30" spans="1:3" x14ac:dyDescent="0.25">
      <c r="A30" s="64" t="s">
        <v>208</v>
      </c>
      <c r="B30" s="34" t="s">
        <v>125</v>
      </c>
      <c r="C30" s="214">
        <v>4200</v>
      </c>
    </row>
    <row r="31" spans="1:3" ht="30" x14ac:dyDescent="0.25">
      <c r="A31" s="64" t="s">
        <v>209</v>
      </c>
      <c r="B31" s="34" t="s">
        <v>126</v>
      </c>
      <c r="C31" s="214">
        <v>10000</v>
      </c>
    </row>
    <row r="32" spans="1:3" ht="30" x14ac:dyDescent="0.25">
      <c r="A32" s="64" t="s">
        <v>195</v>
      </c>
      <c r="B32" s="34" t="s">
        <v>387</v>
      </c>
      <c r="C32" s="214">
        <v>20000</v>
      </c>
    </row>
    <row r="33" spans="1:3" x14ac:dyDescent="0.25">
      <c r="A33" s="64" t="s">
        <v>244</v>
      </c>
      <c r="B33" s="34" t="s">
        <v>264</v>
      </c>
      <c r="C33" s="214">
        <v>6000</v>
      </c>
    </row>
    <row r="34" spans="1:3" x14ac:dyDescent="0.25">
      <c r="A34" s="65" t="s">
        <v>36</v>
      </c>
      <c r="B34" s="33" t="s">
        <v>3</v>
      </c>
      <c r="C34" s="213">
        <f>C35</f>
        <v>150000</v>
      </c>
    </row>
    <row r="35" spans="1:3" x14ac:dyDescent="0.25">
      <c r="A35" s="67" t="s">
        <v>524</v>
      </c>
      <c r="B35" s="33" t="s">
        <v>525</v>
      </c>
      <c r="C35" s="213">
        <f>C36+C37</f>
        <v>150000</v>
      </c>
    </row>
    <row r="36" spans="1:3" x14ac:dyDescent="0.25">
      <c r="A36" s="64" t="s">
        <v>210</v>
      </c>
      <c r="B36" s="34" t="s">
        <v>127</v>
      </c>
      <c r="C36" s="217">
        <v>77000</v>
      </c>
    </row>
    <row r="37" spans="1:3" ht="30" x14ac:dyDescent="0.25">
      <c r="A37" s="64" t="s">
        <v>281</v>
      </c>
      <c r="B37" s="34" t="s">
        <v>298</v>
      </c>
      <c r="C37" s="214">
        <v>73000</v>
      </c>
    </row>
    <row r="38" spans="1:3" hidden="1" x14ac:dyDescent="0.25">
      <c r="A38" s="224" t="s">
        <v>211</v>
      </c>
      <c r="B38" s="225" t="s">
        <v>4</v>
      </c>
      <c r="C38" s="220">
        <f>C39</f>
        <v>0</v>
      </c>
    </row>
    <row r="39" spans="1:3" ht="29.25" hidden="1" x14ac:dyDescent="0.25">
      <c r="A39" s="218" t="s">
        <v>528</v>
      </c>
      <c r="B39" s="219" t="s">
        <v>529</v>
      </c>
      <c r="C39" s="220">
        <f>C40</f>
        <v>0</v>
      </c>
    </row>
    <row r="40" spans="1:3" ht="30" hidden="1" x14ac:dyDescent="0.25">
      <c r="A40" s="221" t="s">
        <v>530</v>
      </c>
      <c r="B40" s="222" t="s">
        <v>531</v>
      </c>
      <c r="C40" s="223"/>
    </row>
    <row r="41" spans="1:3" ht="29.25" x14ac:dyDescent="0.25">
      <c r="A41" s="65" t="s">
        <v>212</v>
      </c>
      <c r="B41" s="33" t="s">
        <v>388</v>
      </c>
      <c r="C41" s="213">
        <f>C42+C43</f>
        <v>104887</v>
      </c>
    </row>
    <row r="42" spans="1:3" x14ac:dyDescent="0.25">
      <c r="A42" s="64" t="s">
        <v>213</v>
      </c>
      <c r="B42" s="34" t="s">
        <v>5</v>
      </c>
      <c r="C42" s="214">
        <v>87054</v>
      </c>
    </row>
    <row r="43" spans="1:3" x14ac:dyDescent="0.25">
      <c r="A43" s="64" t="s">
        <v>526</v>
      </c>
      <c r="B43" s="34" t="s">
        <v>527</v>
      </c>
      <c r="C43" s="214">
        <v>17833</v>
      </c>
    </row>
    <row r="44" spans="1:3" x14ac:dyDescent="0.25">
      <c r="A44" s="21"/>
      <c r="B44" s="22" t="s">
        <v>151</v>
      </c>
      <c r="C44" s="212">
        <f>C47+C52+C45</f>
        <v>35774066</v>
      </c>
    </row>
    <row r="45" spans="1:3" s="177" customFormat="1" ht="29.25" x14ac:dyDescent="0.25">
      <c r="A45" s="100" t="s">
        <v>639</v>
      </c>
      <c r="B45" s="83" t="s">
        <v>728</v>
      </c>
      <c r="C45" s="216">
        <f>C46</f>
        <v>235006</v>
      </c>
    </row>
    <row r="46" spans="1:3" s="177" customFormat="1" ht="45" x14ac:dyDescent="0.25">
      <c r="A46" s="68" t="s">
        <v>640</v>
      </c>
      <c r="B46" s="34" t="s">
        <v>641</v>
      </c>
      <c r="C46" s="214">
        <v>235006</v>
      </c>
    </row>
    <row r="47" spans="1:3" x14ac:dyDescent="0.25">
      <c r="A47" s="65" t="s">
        <v>214</v>
      </c>
      <c r="B47" s="33" t="s">
        <v>24</v>
      </c>
      <c r="C47" s="213">
        <f>C48</f>
        <v>34850201</v>
      </c>
    </row>
    <row r="48" spans="1:3" x14ac:dyDescent="0.25">
      <c r="A48" s="67" t="s">
        <v>215</v>
      </c>
      <c r="B48" s="28" t="s">
        <v>236</v>
      </c>
      <c r="C48" s="213">
        <f>C49+C50+C51</f>
        <v>34850201</v>
      </c>
    </row>
    <row r="49" spans="1:5" x14ac:dyDescent="0.25">
      <c r="A49" s="68" t="s">
        <v>216</v>
      </c>
      <c r="B49" s="34" t="s">
        <v>473</v>
      </c>
      <c r="C49" s="214">
        <f>12822455+182011</f>
        <v>13004466</v>
      </c>
    </row>
    <row r="50" spans="1:5" ht="45" x14ac:dyDescent="0.25">
      <c r="A50" s="68" t="s">
        <v>217</v>
      </c>
      <c r="B50" s="34" t="s">
        <v>237</v>
      </c>
      <c r="C50" s="215">
        <v>12966527</v>
      </c>
    </row>
    <row r="51" spans="1:5" ht="30" x14ac:dyDescent="0.25">
      <c r="A51" s="68" t="s">
        <v>276</v>
      </c>
      <c r="B51" s="34" t="s">
        <v>342</v>
      </c>
      <c r="C51" s="214">
        <v>8879208</v>
      </c>
    </row>
    <row r="52" spans="1:5" x14ac:dyDescent="0.25">
      <c r="A52" s="69" t="s">
        <v>218</v>
      </c>
      <c r="B52" s="33" t="s">
        <v>128</v>
      </c>
      <c r="C52" s="213">
        <f>SUM(C53)</f>
        <v>688859</v>
      </c>
    </row>
    <row r="53" spans="1:5" x14ac:dyDescent="0.25">
      <c r="A53" s="68" t="s">
        <v>219</v>
      </c>
      <c r="B53" s="34" t="s">
        <v>238</v>
      </c>
      <c r="C53" s="214">
        <v>688859</v>
      </c>
    </row>
    <row r="54" spans="1:5" s="116" customFormat="1" ht="14.25" x14ac:dyDescent="0.2">
      <c r="A54" s="22"/>
      <c r="B54" s="22" t="s">
        <v>155</v>
      </c>
      <c r="C54" s="212">
        <f>SUM(C55)</f>
        <v>1243452</v>
      </c>
      <c r="D54" s="178"/>
      <c r="E54" s="178"/>
    </row>
    <row r="55" spans="1:5" x14ac:dyDescent="0.25">
      <c r="A55" s="65" t="s">
        <v>220</v>
      </c>
      <c r="B55" s="33" t="s">
        <v>277</v>
      </c>
      <c r="C55" s="213">
        <f>C56+C59+C76</f>
        <v>1243452</v>
      </c>
      <c r="D55" s="9"/>
      <c r="E55" s="9"/>
    </row>
    <row r="56" spans="1:5" x14ac:dyDescent="0.25">
      <c r="A56" s="82" t="s">
        <v>272</v>
      </c>
      <c r="B56" s="83" t="s">
        <v>278</v>
      </c>
      <c r="C56" s="216">
        <f>C58+C57</f>
        <v>13351</v>
      </c>
      <c r="D56" s="9"/>
      <c r="E56" s="9"/>
    </row>
    <row r="57" spans="1:5" ht="60" hidden="1" x14ac:dyDescent="0.25">
      <c r="A57" s="226" t="s">
        <v>642</v>
      </c>
      <c r="B57" s="222" t="s">
        <v>729</v>
      </c>
      <c r="C57" s="227"/>
      <c r="D57" s="9"/>
      <c r="E57" s="9"/>
    </row>
    <row r="58" spans="1:5" ht="30" x14ac:dyDescent="0.25">
      <c r="A58" s="68" t="s">
        <v>532</v>
      </c>
      <c r="B58" s="34" t="s">
        <v>533</v>
      </c>
      <c r="C58" s="215">
        <v>13351</v>
      </c>
      <c r="D58" s="9"/>
      <c r="E58" s="9"/>
    </row>
    <row r="59" spans="1:5" ht="29.25" x14ac:dyDescent="0.25">
      <c r="A59" s="67" t="s">
        <v>221</v>
      </c>
      <c r="B59" s="28" t="s">
        <v>279</v>
      </c>
      <c r="C59" s="213">
        <f>C60+C63+C65+C70</f>
        <v>1179051</v>
      </c>
      <c r="D59" s="9"/>
      <c r="E59" s="9"/>
    </row>
    <row r="60" spans="1:5" x14ac:dyDescent="0.25">
      <c r="A60" s="67" t="s">
        <v>222</v>
      </c>
      <c r="B60" s="33" t="s">
        <v>6</v>
      </c>
      <c r="C60" s="213">
        <f>C61+C62</f>
        <v>287293</v>
      </c>
      <c r="D60" s="9"/>
      <c r="E60" s="9"/>
    </row>
    <row r="61" spans="1:5" x14ac:dyDescent="0.25">
      <c r="A61" s="64" t="s">
        <v>534</v>
      </c>
      <c r="B61" s="34" t="s">
        <v>535</v>
      </c>
      <c r="C61" s="214">
        <v>116938</v>
      </c>
      <c r="D61" s="9"/>
      <c r="E61" s="9"/>
    </row>
    <row r="62" spans="1:5" x14ac:dyDescent="0.25">
      <c r="A62" s="64" t="s">
        <v>536</v>
      </c>
      <c r="B62" s="34" t="s">
        <v>537</v>
      </c>
      <c r="C62" s="215">
        <v>170355</v>
      </c>
      <c r="D62" s="9"/>
      <c r="E62" s="9"/>
    </row>
    <row r="63" spans="1:5" ht="17.25" customHeight="1" x14ac:dyDescent="0.25">
      <c r="A63" s="67" t="s">
        <v>223</v>
      </c>
      <c r="B63" s="33" t="s">
        <v>7</v>
      </c>
      <c r="C63" s="213">
        <f>C64</f>
        <v>800</v>
      </c>
      <c r="D63" s="9"/>
      <c r="E63" s="9"/>
    </row>
    <row r="64" spans="1:5" ht="30" x14ac:dyDescent="0.25">
      <c r="A64" s="64" t="s">
        <v>538</v>
      </c>
      <c r="B64" s="34" t="s">
        <v>539</v>
      </c>
      <c r="C64" s="217">
        <v>800</v>
      </c>
      <c r="D64" s="9"/>
      <c r="E64" s="9"/>
    </row>
    <row r="65" spans="1:5" x14ac:dyDescent="0.25">
      <c r="A65" s="67" t="s">
        <v>224</v>
      </c>
      <c r="B65" s="33" t="s">
        <v>8</v>
      </c>
      <c r="C65" s="213">
        <f>SUM(C66:C69)</f>
        <v>468953</v>
      </c>
      <c r="D65" s="9"/>
      <c r="E65" s="9"/>
    </row>
    <row r="66" spans="1:5" x14ac:dyDescent="0.25">
      <c r="A66" s="64" t="s">
        <v>540</v>
      </c>
      <c r="B66" s="34" t="s">
        <v>730</v>
      </c>
      <c r="C66" s="214">
        <v>297772</v>
      </c>
      <c r="D66" s="9"/>
      <c r="E66" s="9"/>
    </row>
    <row r="67" spans="1:5" x14ac:dyDescent="0.25">
      <c r="A67" s="64" t="s">
        <v>541</v>
      </c>
      <c r="B67" s="34" t="s">
        <v>542</v>
      </c>
      <c r="C67" s="215">
        <v>42836</v>
      </c>
      <c r="D67" s="9"/>
      <c r="E67" s="9"/>
    </row>
    <row r="68" spans="1:5" x14ac:dyDescent="0.25">
      <c r="A68" s="64" t="s">
        <v>543</v>
      </c>
      <c r="B68" s="34" t="s">
        <v>545</v>
      </c>
      <c r="C68" s="215">
        <v>60344</v>
      </c>
      <c r="D68" s="9"/>
      <c r="E68" s="9"/>
    </row>
    <row r="69" spans="1:5" x14ac:dyDescent="0.25">
      <c r="A69" s="64" t="s">
        <v>544</v>
      </c>
      <c r="B69" s="34" t="s">
        <v>546</v>
      </c>
      <c r="C69" s="215">
        <v>68001</v>
      </c>
      <c r="D69" s="9"/>
      <c r="E69" s="9"/>
    </row>
    <row r="70" spans="1:5" ht="16.5" customHeight="1" x14ac:dyDescent="0.25">
      <c r="A70" s="67" t="s">
        <v>225</v>
      </c>
      <c r="B70" s="28" t="s">
        <v>280</v>
      </c>
      <c r="C70" s="213">
        <f>SUM(C71:C75)</f>
        <v>422005</v>
      </c>
      <c r="D70" s="9"/>
      <c r="E70" s="9"/>
    </row>
    <row r="71" spans="1:5" ht="16.5" customHeight="1" x14ac:dyDescent="0.25">
      <c r="A71" s="64" t="s">
        <v>547</v>
      </c>
      <c r="B71" s="34" t="s">
        <v>550</v>
      </c>
      <c r="C71" s="214">
        <v>15150</v>
      </c>
      <c r="D71" s="9"/>
      <c r="E71" s="9"/>
    </row>
    <row r="72" spans="1:5" ht="16.5" customHeight="1" x14ac:dyDescent="0.25">
      <c r="A72" s="64" t="s">
        <v>548</v>
      </c>
      <c r="B72" s="34" t="s">
        <v>551</v>
      </c>
      <c r="C72" s="215">
        <v>165400</v>
      </c>
      <c r="D72" s="9"/>
      <c r="E72" s="9"/>
    </row>
    <row r="73" spans="1:5" ht="16.5" hidden="1" customHeight="1" x14ac:dyDescent="0.25">
      <c r="A73" s="221" t="s">
        <v>549</v>
      </c>
      <c r="B73" s="222" t="s">
        <v>552</v>
      </c>
      <c r="C73" s="227"/>
      <c r="D73" s="9"/>
      <c r="E73" s="9"/>
    </row>
    <row r="74" spans="1:5" ht="16.5" customHeight="1" x14ac:dyDescent="0.25">
      <c r="A74" s="64" t="s">
        <v>553</v>
      </c>
      <c r="B74" s="34" t="s">
        <v>554</v>
      </c>
      <c r="C74" s="215">
        <v>20327</v>
      </c>
      <c r="D74" s="9"/>
      <c r="E74" s="9"/>
    </row>
    <row r="75" spans="1:5" ht="16.5" customHeight="1" x14ac:dyDescent="0.25">
      <c r="A75" s="64" t="s">
        <v>555</v>
      </c>
      <c r="B75" s="34" t="s">
        <v>556</v>
      </c>
      <c r="C75" s="215">
        <v>221128</v>
      </c>
      <c r="D75" s="9"/>
      <c r="E75" s="9"/>
    </row>
    <row r="76" spans="1:5" ht="30.75" customHeight="1" x14ac:dyDescent="0.25">
      <c r="A76" s="67" t="s">
        <v>353</v>
      </c>
      <c r="B76" s="28" t="s">
        <v>389</v>
      </c>
      <c r="C76" s="213">
        <f>C77</f>
        <v>51050</v>
      </c>
      <c r="D76" s="9"/>
      <c r="E76" s="9"/>
    </row>
    <row r="77" spans="1:5" x14ac:dyDescent="0.25">
      <c r="A77" s="64" t="s">
        <v>731</v>
      </c>
      <c r="B77" s="34" t="s">
        <v>732</v>
      </c>
      <c r="C77" s="215">
        <v>51050</v>
      </c>
      <c r="D77" s="9"/>
      <c r="E77" s="9"/>
    </row>
    <row r="78" spans="1:5" x14ac:dyDescent="0.25">
      <c r="A78" s="36"/>
      <c r="B78" s="22" t="s">
        <v>152</v>
      </c>
      <c r="C78" s="212">
        <f>SUM(C79:C80)</f>
        <v>23008942</v>
      </c>
    </row>
    <row r="79" spans="1:5" x14ac:dyDescent="0.25">
      <c r="A79" s="37" t="s">
        <v>693</v>
      </c>
      <c r="B79" s="38" t="s">
        <v>290</v>
      </c>
      <c r="C79" s="228">
        <v>8832212</v>
      </c>
    </row>
    <row r="80" spans="1:5" x14ac:dyDescent="0.25">
      <c r="A80" s="39" t="s">
        <v>17</v>
      </c>
      <c r="B80" s="40" t="s">
        <v>18</v>
      </c>
      <c r="C80" s="228">
        <v>14176730</v>
      </c>
    </row>
    <row r="81" spans="1:3" x14ac:dyDescent="0.25">
      <c r="A81" s="179"/>
      <c r="B81" s="22" t="s">
        <v>154</v>
      </c>
      <c r="C81" s="212">
        <f>C9+C78</f>
        <v>101121156</v>
      </c>
    </row>
    <row r="82" spans="1:3" x14ac:dyDescent="0.25">
      <c r="A82" s="9"/>
      <c r="B82" s="12"/>
      <c r="C82" s="10"/>
    </row>
    <row r="83" spans="1:3" ht="15.75" x14ac:dyDescent="0.25">
      <c r="A83" s="3" t="s">
        <v>25</v>
      </c>
      <c r="B83" s="3"/>
      <c r="C83" s="23" t="s">
        <v>26</v>
      </c>
    </row>
    <row r="90" spans="1:3" x14ac:dyDescent="0.25">
      <c r="B90" s="105"/>
      <c r="C90" s="180"/>
    </row>
  </sheetData>
  <mergeCells count="3">
    <mergeCell ref="B2:C2"/>
    <mergeCell ref="B3:C3"/>
    <mergeCell ref="A5:C5"/>
  </mergeCells>
  <printOptions horizontalCentered="1"/>
  <pageMargins left="0.98425196850393704" right="0.39370078740157483" top="0.39370078740157483" bottom="0.39370078740157483" header="0.19685039370078741" footer="0.19685039370078741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2"/>
  <sheetViews>
    <sheetView zoomScale="90" zoomScaleNormal="90" workbookViewId="0">
      <selection activeCell="I5" sqref="I5"/>
    </sheetView>
  </sheetViews>
  <sheetFormatPr defaultRowHeight="12.75" x14ac:dyDescent="0.2"/>
  <cols>
    <col min="1" max="1" width="10.7109375" style="185" customWidth="1"/>
    <col min="2" max="2" width="60.7109375" style="185" customWidth="1"/>
    <col min="3" max="3" width="15.28515625" style="185" customWidth="1"/>
    <col min="4" max="4" width="14.7109375" style="185" customWidth="1"/>
    <col min="5" max="5" width="12" style="185" customWidth="1"/>
    <col min="6" max="6" width="14.140625" style="185" customWidth="1"/>
    <col min="7" max="7" width="12" style="185" customWidth="1"/>
    <col min="8" max="8" width="13" style="185" customWidth="1"/>
    <col min="9" max="9" width="14.42578125" style="185" customWidth="1"/>
    <col min="10" max="16384" width="9.140625" style="185"/>
  </cols>
  <sheetData>
    <row r="1" spans="1:10" ht="15.75" x14ac:dyDescent="0.25">
      <c r="A1" s="41"/>
      <c r="B1" s="184"/>
      <c r="C1" s="184"/>
      <c r="D1" s="184"/>
      <c r="E1" s="184"/>
      <c r="F1" s="184"/>
      <c r="G1" s="184"/>
      <c r="H1" s="42" t="s">
        <v>145</v>
      </c>
    </row>
    <row r="2" spans="1:10" ht="15" x14ac:dyDescent="0.25">
      <c r="A2" s="184"/>
      <c r="B2" s="184"/>
      <c r="C2" s="184"/>
      <c r="D2" s="184"/>
      <c r="E2" s="184"/>
      <c r="F2" s="184"/>
      <c r="G2" s="184"/>
      <c r="H2" s="43" t="s">
        <v>866</v>
      </c>
    </row>
    <row r="3" spans="1:10" ht="15" x14ac:dyDescent="0.25">
      <c r="A3" s="184"/>
      <c r="B3" s="184"/>
      <c r="C3" s="184"/>
      <c r="D3" s="184"/>
      <c r="E3" s="184"/>
      <c r="F3" s="184"/>
      <c r="G3" s="184"/>
      <c r="H3" s="7" t="s">
        <v>867</v>
      </c>
    </row>
    <row r="4" spans="1:10" ht="20.25" x14ac:dyDescent="0.3">
      <c r="A4" s="460" t="s">
        <v>733</v>
      </c>
      <c r="B4" s="460"/>
      <c r="C4" s="460"/>
      <c r="D4" s="460"/>
      <c r="E4" s="460"/>
      <c r="F4" s="460"/>
      <c r="G4" s="460"/>
      <c r="H4" s="460"/>
    </row>
    <row r="5" spans="1:10" ht="20.25" x14ac:dyDescent="0.3">
      <c r="A5" s="463" t="s">
        <v>734</v>
      </c>
      <c r="B5" s="463"/>
      <c r="C5" s="463"/>
      <c r="D5" s="463"/>
      <c r="E5" s="463"/>
      <c r="F5" s="463"/>
      <c r="G5" s="463"/>
      <c r="H5" s="463"/>
    </row>
    <row r="6" spans="1:10" ht="20.25" x14ac:dyDescent="0.3">
      <c r="A6" s="186"/>
      <c r="B6" s="186"/>
      <c r="C6" s="186"/>
      <c r="D6" s="186"/>
      <c r="E6" s="186"/>
      <c r="F6" s="186"/>
      <c r="G6" s="186"/>
      <c r="H6" s="187"/>
    </row>
    <row r="7" spans="1:10" s="188" customFormat="1" ht="14.25" x14ac:dyDescent="0.2">
      <c r="A7" s="462" t="s">
        <v>197</v>
      </c>
      <c r="B7" s="462" t="s">
        <v>28</v>
      </c>
      <c r="C7" s="462" t="s">
        <v>735</v>
      </c>
      <c r="D7" s="461" t="s">
        <v>51</v>
      </c>
      <c r="E7" s="461"/>
      <c r="F7" s="461"/>
      <c r="G7" s="461"/>
      <c r="H7" s="461"/>
    </row>
    <row r="8" spans="1:10" s="188" customFormat="1" ht="71.25" x14ac:dyDescent="0.2">
      <c r="A8" s="462"/>
      <c r="B8" s="462"/>
      <c r="C8" s="462"/>
      <c r="D8" s="172" t="s">
        <v>227</v>
      </c>
      <c r="E8" s="172" t="s">
        <v>228</v>
      </c>
      <c r="F8" s="172" t="s">
        <v>24</v>
      </c>
      <c r="G8" s="172" t="s">
        <v>230</v>
      </c>
      <c r="H8" s="172" t="s">
        <v>736</v>
      </c>
    </row>
    <row r="9" spans="1:10" s="189" customFormat="1" ht="16.5" x14ac:dyDescent="0.25">
      <c r="A9" s="80"/>
      <c r="B9" s="81" t="s">
        <v>27</v>
      </c>
      <c r="C9" s="240">
        <f t="shared" ref="C9:H9" si="0">C10+C11+C12+C13+C14+C16+C17+C18+C15</f>
        <v>90907078</v>
      </c>
      <c r="D9" s="240">
        <f t="shared" si="0"/>
        <v>62811418</v>
      </c>
      <c r="E9" s="241">
        <f t="shared" si="0"/>
        <v>1390052</v>
      </c>
      <c r="F9" s="241">
        <f t="shared" si="0"/>
        <v>22686972</v>
      </c>
      <c r="G9" s="241">
        <f t="shared" si="0"/>
        <v>688859</v>
      </c>
      <c r="H9" s="241">
        <f t="shared" si="0"/>
        <v>3329777</v>
      </c>
    </row>
    <row r="10" spans="1:10" ht="15" x14ac:dyDescent="0.25">
      <c r="A10" s="44" t="s">
        <v>29</v>
      </c>
      <c r="B10" s="38" t="s">
        <v>9</v>
      </c>
      <c r="C10" s="242">
        <f>D10+E10+F10+G10+H10</f>
        <v>8331005</v>
      </c>
      <c r="D10" s="243">
        <f>'3.pielikums'!D10</f>
        <v>7373136</v>
      </c>
      <c r="E10" s="243">
        <f>'3.pielikums'!E10</f>
        <v>99500</v>
      </c>
      <c r="F10" s="243">
        <f>'3.pielikums'!F10</f>
        <v>162304</v>
      </c>
      <c r="G10" s="243">
        <f>'3.pielikums'!G10</f>
        <v>636544</v>
      </c>
      <c r="H10" s="243">
        <f>'3.pielikums'!H10</f>
        <v>59521</v>
      </c>
      <c r="J10" s="190"/>
    </row>
    <row r="11" spans="1:10" ht="15" x14ac:dyDescent="0.25">
      <c r="A11" s="44" t="s">
        <v>30</v>
      </c>
      <c r="B11" s="38" t="s">
        <v>11</v>
      </c>
      <c r="C11" s="242">
        <f t="shared" ref="C11:C24" si="1">D11+E11+F11+G11+H11</f>
        <v>4267788</v>
      </c>
      <c r="D11" s="243">
        <f>'3.pielikums'!D31</f>
        <v>3611108</v>
      </c>
      <c r="E11" s="243">
        <f>'3.pielikums'!E31</f>
        <v>234357</v>
      </c>
      <c r="F11" s="243">
        <f>'3.pielikums'!F31</f>
        <v>157341</v>
      </c>
      <c r="G11" s="244">
        <f>'3.pielikums'!G31</f>
        <v>0</v>
      </c>
      <c r="H11" s="243">
        <f>'3.pielikums'!H31</f>
        <v>264982</v>
      </c>
    </row>
    <row r="12" spans="1:10" ht="15" x14ac:dyDescent="0.25">
      <c r="A12" s="44" t="s">
        <v>31</v>
      </c>
      <c r="B12" s="38" t="s">
        <v>12</v>
      </c>
      <c r="C12" s="242">
        <f t="shared" si="1"/>
        <v>16257012</v>
      </c>
      <c r="D12" s="243">
        <f>'3.pielikums'!D38</f>
        <v>7799719</v>
      </c>
      <c r="E12" s="243">
        <f>'3.pielikums'!E38</f>
        <v>30950</v>
      </c>
      <c r="F12" s="243">
        <f>'3.pielikums'!F38</f>
        <v>7356027</v>
      </c>
      <c r="G12" s="244">
        <f>'3.pielikums'!G38</f>
        <v>24155</v>
      </c>
      <c r="H12" s="243">
        <f>'3.pielikums'!H38</f>
        <v>1046161</v>
      </c>
    </row>
    <row r="13" spans="1:10" ht="15" x14ac:dyDescent="0.25">
      <c r="A13" s="44" t="s">
        <v>32</v>
      </c>
      <c r="B13" s="38" t="s">
        <v>13</v>
      </c>
      <c r="C13" s="242">
        <f t="shared" si="1"/>
        <v>5000006</v>
      </c>
      <c r="D13" s="243">
        <f>'3.pielikums'!D55</f>
        <v>3317654</v>
      </c>
      <c r="E13" s="243">
        <f>'3.pielikums'!E55</f>
        <v>0</v>
      </c>
      <c r="F13" s="243">
        <f>'3.pielikums'!F55</f>
        <v>1586325</v>
      </c>
      <c r="G13" s="244">
        <f>'3.pielikums'!G55</f>
        <v>0</v>
      </c>
      <c r="H13" s="243">
        <f>'3.pielikums'!H55</f>
        <v>96027</v>
      </c>
    </row>
    <row r="14" spans="1:10" ht="15" x14ac:dyDescent="0.25">
      <c r="A14" s="44" t="s">
        <v>33</v>
      </c>
      <c r="B14" s="38" t="s">
        <v>156</v>
      </c>
      <c r="C14" s="242">
        <f t="shared" si="1"/>
        <v>4836439</v>
      </c>
      <c r="D14" s="243">
        <f>'3.pielikums'!D67</f>
        <v>4370725</v>
      </c>
      <c r="E14" s="243">
        <f>'3.pielikums'!E67</f>
        <v>105340</v>
      </c>
      <c r="F14" s="243">
        <f>'3.pielikums'!F67</f>
        <v>0</v>
      </c>
      <c r="G14" s="244">
        <f>'3.pielikums'!G67</f>
        <v>0</v>
      </c>
      <c r="H14" s="243">
        <f>'3.pielikums'!H67</f>
        <v>360374</v>
      </c>
    </row>
    <row r="15" spans="1:10" ht="15" x14ac:dyDescent="0.25">
      <c r="A15" s="44" t="s">
        <v>142</v>
      </c>
      <c r="B15" s="38" t="s">
        <v>143</v>
      </c>
      <c r="C15" s="242">
        <f t="shared" si="1"/>
        <v>272084</v>
      </c>
      <c r="D15" s="243">
        <f>'3.pielikums'!D81</f>
        <v>144477</v>
      </c>
      <c r="E15" s="243">
        <f>'3.pielikums'!E81</f>
        <v>0</v>
      </c>
      <c r="F15" s="243">
        <f>'3.pielikums'!F81</f>
        <v>108016</v>
      </c>
      <c r="G15" s="244">
        <f>'3.pielikums'!G81</f>
        <v>0</v>
      </c>
      <c r="H15" s="243">
        <f>'3.pielikums'!H81</f>
        <v>19591</v>
      </c>
    </row>
    <row r="16" spans="1:10" ht="15" x14ac:dyDescent="0.25">
      <c r="A16" s="44" t="s">
        <v>34</v>
      </c>
      <c r="B16" s="38" t="s">
        <v>14</v>
      </c>
      <c r="C16" s="242">
        <f t="shared" si="1"/>
        <v>5953631</v>
      </c>
      <c r="D16" s="243">
        <f>'3.pielikums'!D88</f>
        <v>5621111</v>
      </c>
      <c r="E16" s="243">
        <f>'3.pielikums'!E88</f>
        <v>287009</v>
      </c>
      <c r="F16" s="243">
        <f>'3.pielikums'!F88</f>
        <v>15238</v>
      </c>
      <c r="G16" s="244">
        <f>'3.pielikums'!G88</f>
        <v>19764</v>
      </c>
      <c r="H16" s="243">
        <f>'3.pielikums'!H88</f>
        <v>10509</v>
      </c>
    </row>
    <row r="17" spans="1:9" ht="15" x14ac:dyDescent="0.25">
      <c r="A17" s="44" t="s">
        <v>35</v>
      </c>
      <c r="B17" s="38" t="s">
        <v>15</v>
      </c>
      <c r="C17" s="242">
        <f t="shared" si="1"/>
        <v>36408060</v>
      </c>
      <c r="D17" s="243">
        <f>'3.pielikums'!D114</f>
        <v>23610557</v>
      </c>
      <c r="E17" s="243">
        <f>'3.pielikums'!E114</f>
        <v>587848</v>
      </c>
      <c r="F17" s="243">
        <f>'3.pielikums'!F114</f>
        <v>10934679</v>
      </c>
      <c r="G17" s="243">
        <f>'3.pielikums'!G114</f>
        <v>0</v>
      </c>
      <c r="H17" s="243">
        <f>'3.pielikums'!H114</f>
        <v>1274976</v>
      </c>
    </row>
    <row r="18" spans="1:9" ht="15" x14ac:dyDescent="0.25">
      <c r="A18" s="45" t="s">
        <v>36</v>
      </c>
      <c r="B18" s="40" t="s">
        <v>16</v>
      </c>
      <c r="C18" s="242">
        <f t="shared" si="1"/>
        <v>9581053</v>
      </c>
      <c r="D18" s="244">
        <f>'3.pielikums'!D149</f>
        <v>6962931</v>
      </c>
      <c r="E18" s="244">
        <f>'3.pielikums'!E149</f>
        <v>45048</v>
      </c>
      <c r="F18" s="244">
        <f>'3.pielikums'!F149</f>
        <v>2367042</v>
      </c>
      <c r="G18" s="244">
        <f>'3.pielikums'!G149</f>
        <v>8396</v>
      </c>
      <c r="H18" s="244">
        <f>'3.pielikums'!H149</f>
        <v>197636</v>
      </c>
    </row>
    <row r="19" spans="1:9" s="189" customFormat="1" ht="16.5" x14ac:dyDescent="0.25">
      <c r="A19" s="80"/>
      <c r="B19" s="80" t="s">
        <v>50</v>
      </c>
      <c r="C19" s="240">
        <f t="shared" ref="C19:H19" si="2">C20+C21+C27</f>
        <v>10214078</v>
      </c>
      <c r="D19" s="240">
        <f t="shared" si="2"/>
        <v>1210716</v>
      </c>
      <c r="E19" s="240">
        <f t="shared" si="2"/>
        <v>0</v>
      </c>
      <c r="F19" s="240">
        <f t="shared" si="2"/>
        <v>3500927</v>
      </c>
      <c r="G19" s="240">
        <f t="shared" si="2"/>
        <v>0</v>
      </c>
      <c r="H19" s="240">
        <f t="shared" si="2"/>
        <v>5502435</v>
      </c>
    </row>
    <row r="20" spans="1:9" ht="16.5" customHeight="1" x14ac:dyDescent="0.25">
      <c r="A20" s="46" t="s">
        <v>157</v>
      </c>
      <c r="B20" s="37" t="s">
        <v>158</v>
      </c>
      <c r="C20" s="242">
        <f t="shared" si="1"/>
        <v>9003362</v>
      </c>
      <c r="D20" s="243">
        <f>'3.pielikums'!D181</f>
        <v>0</v>
      </c>
      <c r="E20" s="243">
        <f>'3.pielikums'!E181</f>
        <v>0</v>
      </c>
      <c r="F20" s="243">
        <f>'3.pielikums'!F181</f>
        <v>3500927</v>
      </c>
      <c r="G20" s="243">
        <f>'3.pielikums'!G181</f>
        <v>0</v>
      </c>
      <c r="H20" s="243">
        <f>'3.pielikums'!H181</f>
        <v>5502435</v>
      </c>
    </row>
    <row r="21" spans="1:9" ht="17.25" customHeight="1" x14ac:dyDescent="0.25">
      <c r="A21" s="46" t="s">
        <v>92</v>
      </c>
      <c r="B21" s="38" t="s">
        <v>144</v>
      </c>
      <c r="C21" s="242">
        <f>D21+E21+F21+G21+H21</f>
        <v>339696</v>
      </c>
      <c r="D21" s="243">
        <f>'3.pielikums'!D182</f>
        <v>339696</v>
      </c>
      <c r="E21" s="243">
        <f>'3.pielikums'!E182</f>
        <v>0</v>
      </c>
      <c r="F21" s="243">
        <f>'3.pielikums'!F182</f>
        <v>0</v>
      </c>
      <c r="G21" s="243">
        <f>'3.pielikums'!G182</f>
        <v>0</v>
      </c>
      <c r="H21" s="243">
        <f>'3.pielikums'!H182</f>
        <v>0</v>
      </c>
    </row>
    <row r="22" spans="1:9" ht="15" hidden="1" x14ac:dyDescent="0.25">
      <c r="A22" s="46"/>
      <c r="B22" s="86" t="s">
        <v>596</v>
      </c>
      <c r="C22" s="245">
        <f t="shared" si="1"/>
        <v>0</v>
      </c>
      <c r="D22" s="245">
        <f>'3.pielikums'!D183</f>
        <v>0</v>
      </c>
      <c r="E22" s="245">
        <f>'3.pielikums'!E183</f>
        <v>0</v>
      </c>
      <c r="F22" s="245">
        <f>'3.pielikums'!F183</f>
        <v>0</v>
      </c>
      <c r="G22" s="245">
        <f>'3.pielikums'!G183</f>
        <v>0</v>
      </c>
      <c r="H22" s="245">
        <f>'3.pielikums'!H183</f>
        <v>0</v>
      </c>
    </row>
    <row r="23" spans="1:9" ht="15" hidden="1" x14ac:dyDescent="0.25">
      <c r="A23" s="46"/>
      <c r="B23" s="86" t="s">
        <v>597</v>
      </c>
      <c r="C23" s="245">
        <f t="shared" si="1"/>
        <v>0</v>
      </c>
      <c r="D23" s="245">
        <f>'3.pielikums'!D184</f>
        <v>0</v>
      </c>
      <c r="E23" s="245">
        <f>'3.pielikums'!E184</f>
        <v>0</v>
      </c>
      <c r="F23" s="245">
        <f>'3.pielikums'!F184</f>
        <v>0</v>
      </c>
      <c r="G23" s="245">
        <f>'3.pielikums'!G184</f>
        <v>0</v>
      </c>
      <c r="H23" s="245">
        <f>'3.pielikums'!H184</f>
        <v>0</v>
      </c>
    </row>
    <row r="24" spans="1:9" ht="15.75" x14ac:dyDescent="0.25">
      <c r="A24" s="77"/>
      <c r="B24" s="86" t="s">
        <v>598</v>
      </c>
      <c r="C24" s="245">
        <f t="shared" si="1"/>
        <v>339696</v>
      </c>
      <c r="D24" s="245">
        <f>'3.pielikums'!D185</f>
        <v>339696</v>
      </c>
      <c r="E24" s="245">
        <f>'3.pielikums'!E185</f>
        <v>0</v>
      </c>
      <c r="F24" s="245">
        <f>'3.pielikums'!F185</f>
        <v>0</v>
      </c>
      <c r="G24" s="245">
        <f>'3.pielikums'!G185</f>
        <v>0</v>
      </c>
      <c r="H24" s="245">
        <f>'3.pielikums'!H185</f>
        <v>0</v>
      </c>
      <c r="I24" s="191"/>
    </row>
    <row r="25" spans="1:9" ht="15.75" hidden="1" x14ac:dyDescent="0.25">
      <c r="A25" s="77"/>
      <c r="B25" s="86" t="s">
        <v>599</v>
      </c>
      <c r="C25" s="245">
        <f>D25+E25+F25+G25+H25</f>
        <v>0</v>
      </c>
      <c r="D25" s="245">
        <f>'3.pielikums'!D186</f>
        <v>0</v>
      </c>
      <c r="E25" s="245">
        <f>'3.pielikums'!E186</f>
        <v>0</v>
      </c>
      <c r="F25" s="245">
        <f>'3.pielikums'!F186</f>
        <v>0</v>
      </c>
      <c r="G25" s="245">
        <f>'3.pielikums'!G186</f>
        <v>0</v>
      </c>
      <c r="H25" s="245">
        <f>'3.pielikums'!H186</f>
        <v>0</v>
      </c>
      <c r="I25" s="191"/>
    </row>
    <row r="26" spans="1:9" ht="15.75" hidden="1" x14ac:dyDescent="0.25">
      <c r="A26" s="77"/>
      <c r="B26" s="86" t="s">
        <v>600</v>
      </c>
      <c r="C26" s="245">
        <f>D26+E26+F26+G26+H26</f>
        <v>0</v>
      </c>
      <c r="D26" s="245">
        <f>'3.pielikums'!D187</f>
        <v>0</v>
      </c>
      <c r="E26" s="245">
        <f>'3.pielikums'!E187</f>
        <v>0</v>
      </c>
      <c r="F26" s="245">
        <f>'3.pielikums'!F187</f>
        <v>0</v>
      </c>
      <c r="G26" s="245">
        <f>'3.pielikums'!G187</f>
        <v>0</v>
      </c>
      <c r="H26" s="245">
        <f>'3.pielikums'!H187</f>
        <v>0</v>
      </c>
      <c r="I26" s="191"/>
    </row>
    <row r="27" spans="1:9" ht="15.75" x14ac:dyDescent="0.25">
      <c r="A27" s="78" t="s">
        <v>693</v>
      </c>
      <c r="B27" s="199" t="s">
        <v>289</v>
      </c>
      <c r="C27" s="242">
        <f>'3.pielikums'!C188</f>
        <v>871020</v>
      </c>
      <c r="D27" s="243">
        <f>'3.pielikums'!D188</f>
        <v>871020</v>
      </c>
      <c r="E27" s="243">
        <f>'3.pielikums'!E188</f>
        <v>0</v>
      </c>
      <c r="F27" s="243">
        <f>'3.pielikums'!F188</f>
        <v>0</v>
      </c>
      <c r="G27" s="243">
        <f>'3.pielikums'!G188</f>
        <v>0</v>
      </c>
      <c r="H27" s="243">
        <f>'3.pielikums'!H188</f>
        <v>0</v>
      </c>
      <c r="I27" s="191"/>
    </row>
    <row r="28" spans="1:9" s="192" customFormat="1" ht="21.75" customHeight="1" x14ac:dyDescent="0.25">
      <c r="A28" s="47"/>
      <c r="B28" s="79" t="s">
        <v>77</v>
      </c>
      <c r="C28" s="246">
        <f t="shared" ref="C28:H28" si="3">C9+C19</f>
        <v>101121156</v>
      </c>
      <c r="D28" s="246">
        <f t="shared" si="3"/>
        <v>64022134</v>
      </c>
      <c r="E28" s="246">
        <f t="shared" si="3"/>
        <v>1390052</v>
      </c>
      <c r="F28" s="246">
        <f t="shared" si="3"/>
        <v>26187899</v>
      </c>
      <c r="G28" s="246">
        <f t="shared" si="3"/>
        <v>688859</v>
      </c>
      <c r="H28" s="246">
        <f t="shared" si="3"/>
        <v>8832212</v>
      </c>
    </row>
    <row r="29" spans="1:9" s="196" customFormat="1" ht="18.75" x14ac:dyDescent="0.3">
      <c r="A29" s="193"/>
      <c r="B29" s="194"/>
      <c r="C29" s="195"/>
      <c r="D29" s="185"/>
    </row>
    <row r="30" spans="1:9" ht="18.75" x14ac:dyDescent="0.3">
      <c r="A30" s="49" t="s">
        <v>25</v>
      </c>
      <c r="B30" s="49"/>
      <c r="C30" s="50"/>
      <c r="D30" s="51"/>
      <c r="E30" s="50"/>
      <c r="F30" s="2"/>
      <c r="G30" s="2"/>
      <c r="H30" s="52" t="s">
        <v>26</v>
      </c>
      <c r="I30" s="48"/>
    </row>
    <row r="31" spans="1:9" x14ac:dyDescent="0.2">
      <c r="C31" s="190"/>
    </row>
    <row r="32" spans="1:9" s="197" customFormat="1" ht="14.25" customHeight="1" x14ac:dyDescent="0.3">
      <c r="C32" s="198"/>
    </row>
  </sheetData>
  <mergeCells count="6">
    <mergeCell ref="A4:H4"/>
    <mergeCell ref="D7:H7"/>
    <mergeCell ref="C7:C8"/>
    <mergeCell ref="A7:A8"/>
    <mergeCell ref="B7:B8"/>
    <mergeCell ref="A5:H5"/>
  </mergeCells>
  <phoneticPr fontId="0" type="noConversion"/>
  <printOptions horizontalCentered="1"/>
  <pageMargins left="0.78740157480314965" right="0.78740157480314965" top="0.78740157480314965" bottom="0.78740157480314965" header="0.19685039370078741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196"/>
  <sheetViews>
    <sheetView zoomScaleNormal="100" workbookViewId="0">
      <pane ySplit="8" topLeftCell="A66" activePane="bottomLeft" state="frozen"/>
      <selection pane="bottomLeft" activeCell="J4" sqref="J4"/>
    </sheetView>
  </sheetViews>
  <sheetFormatPr defaultRowHeight="15.75" x14ac:dyDescent="0.25"/>
  <cols>
    <col min="1" max="1" width="12.7109375" style="13" customWidth="1"/>
    <col min="2" max="2" width="57" style="14" customWidth="1"/>
    <col min="3" max="3" width="14.5703125" style="87" customWidth="1"/>
    <col min="4" max="4" width="13.7109375" style="16" customWidth="1"/>
    <col min="5" max="5" width="12.140625" style="15" customWidth="1"/>
    <col min="6" max="6" width="13.28515625" style="15" customWidth="1"/>
    <col min="7" max="7" width="11.7109375" style="15" customWidth="1"/>
    <col min="8" max="8" width="13.5703125" style="15" customWidth="1"/>
    <col min="9" max="16384" width="9.140625" style="15"/>
  </cols>
  <sheetData>
    <row r="1" spans="1:8" x14ac:dyDescent="0.25">
      <c r="A1" s="4"/>
      <c r="B1" s="119"/>
      <c r="C1" s="6"/>
      <c r="D1" s="5"/>
      <c r="E1" s="1"/>
      <c r="F1" s="1"/>
      <c r="G1" s="1"/>
      <c r="H1" s="62" t="s">
        <v>76</v>
      </c>
    </row>
    <row r="2" spans="1:8" x14ac:dyDescent="0.25">
      <c r="A2" s="4"/>
      <c r="B2" s="119"/>
      <c r="C2" s="6"/>
      <c r="D2" s="5"/>
      <c r="E2" s="1"/>
      <c r="F2" s="1"/>
      <c r="G2" s="1"/>
      <c r="H2" s="7" t="s">
        <v>866</v>
      </c>
    </row>
    <row r="3" spans="1:8" x14ac:dyDescent="0.25">
      <c r="A3" s="4"/>
      <c r="B3" s="119"/>
      <c r="C3" s="6"/>
      <c r="D3" s="5"/>
      <c r="E3" s="1"/>
      <c r="F3" s="1"/>
      <c r="G3" s="1"/>
      <c r="H3" s="7" t="s">
        <v>867</v>
      </c>
    </row>
    <row r="4" spans="1:8" x14ac:dyDescent="0.25">
      <c r="A4" s="464" t="s">
        <v>733</v>
      </c>
      <c r="B4" s="465"/>
      <c r="C4" s="465"/>
      <c r="D4" s="465"/>
      <c r="E4" s="465"/>
      <c r="F4" s="465"/>
      <c r="G4" s="465"/>
      <c r="H4" s="465"/>
    </row>
    <row r="5" spans="1:8" x14ac:dyDescent="0.25">
      <c r="A5" s="464" t="s">
        <v>737</v>
      </c>
      <c r="B5" s="465"/>
      <c r="C5" s="465"/>
      <c r="D5" s="465"/>
      <c r="E5" s="465"/>
      <c r="F5" s="465"/>
      <c r="G5" s="465"/>
      <c r="H5" s="465"/>
    </row>
    <row r="6" spans="1:8" x14ac:dyDescent="0.25">
      <c r="A6" s="101"/>
      <c r="C6" s="102"/>
      <c r="D6" s="103"/>
      <c r="E6" s="104"/>
      <c r="F6" s="104"/>
      <c r="G6" s="104"/>
      <c r="H6" s="200"/>
    </row>
    <row r="7" spans="1:8" x14ac:dyDescent="0.25">
      <c r="A7" s="468" t="s">
        <v>179</v>
      </c>
      <c r="B7" s="468" t="s">
        <v>28</v>
      </c>
      <c r="C7" s="468" t="s">
        <v>738</v>
      </c>
      <c r="D7" s="466" t="s">
        <v>51</v>
      </c>
      <c r="E7" s="467"/>
      <c r="F7" s="467"/>
      <c r="G7" s="467"/>
      <c r="H7" s="467"/>
    </row>
    <row r="8" spans="1:8" s="105" customFormat="1" ht="71.25" x14ac:dyDescent="0.25">
      <c r="A8" s="469"/>
      <c r="B8" s="470"/>
      <c r="C8" s="469"/>
      <c r="D8" s="173" t="s">
        <v>227</v>
      </c>
      <c r="E8" s="173" t="s">
        <v>228</v>
      </c>
      <c r="F8" s="173" t="s">
        <v>229</v>
      </c>
      <c r="G8" s="173" t="s">
        <v>230</v>
      </c>
      <c r="H8" s="173" t="s">
        <v>739</v>
      </c>
    </row>
    <row r="9" spans="1:8" s="87" customFormat="1" x14ac:dyDescent="0.25">
      <c r="A9" s="24"/>
      <c r="B9" s="25" t="s">
        <v>27</v>
      </c>
      <c r="C9" s="236">
        <f>SUM(D9+E9+F9+G9+H9)</f>
        <v>90907078</v>
      </c>
      <c r="D9" s="236">
        <f>SUM(D10+D31+D38+D55+D67+D88+D114+D149+D81)</f>
        <v>62811418</v>
      </c>
      <c r="E9" s="236">
        <f>SUM(E10+E31+E38+E55+E67+E88+E114+E149+E81)</f>
        <v>1390052</v>
      </c>
      <c r="F9" s="236">
        <f>SUM(F10+F31+F38+F55+F67+F88+F114+F149+F81)</f>
        <v>22686972</v>
      </c>
      <c r="G9" s="236">
        <f>SUM(G10+G31+G38+G55+G67+G88+G114+G149+G81)</f>
        <v>688859</v>
      </c>
      <c r="H9" s="236">
        <f>SUM(H10+H31+H38+H55+H67+H88+H114+H149+H81)</f>
        <v>3329777</v>
      </c>
    </row>
    <row r="10" spans="1:8" s="87" customFormat="1" x14ac:dyDescent="0.25">
      <c r="A10" s="26" t="s">
        <v>29</v>
      </c>
      <c r="B10" s="27" t="s">
        <v>9</v>
      </c>
      <c r="C10" s="235">
        <f>SUM(D10+E10+F10+G10+H10)</f>
        <v>8331005</v>
      </c>
      <c r="D10" s="235">
        <f>SUM(D11+D15+D19+D22+D24+D26+D29)</f>
        <v>7373136</v>
      </c>
      <c r="E10" s="235">
        <f t="shared" ref="E10:H10" si="0">SUM(E11+E15+E19+E22+E24+E26+E29)</f>
        <v>99500</v>
      </c>
      <c r="F10" s="235">
        <f t="shared" si="0"/>
        <v>162304</v>
      </c>
      <c r="G10" s="235">
        <f t="shared" si="0"/>
        <v>636544</v>
      </c>
      <c r="H10" s="235">
        <f t="shared" si="0"/>
        <v>59521</v>
      </c>
    </row>
    <row r="11" spans="1:8" x14ac:dyDescent="0.25">
      <c r="A11" s="28" t="s">
        <v>39</v>
      </c>
      <c r="B11" s="29" t="s">
        <v>231</v>
      </c>
      <c r="C11" s="213">
        <f>SUM(D11+E11+F11+G11+H11)</f>
        <v>4669247</v>
      </c>
      <c r="D11" s="237">
        <f>D12+D13+D14</f>
        <v>4521023</v>
      </c>
      <c r="E11" s="237">
        <f t="shared" ref="E11:H11" si="1">E12+E13+E14</f>
        <v>99500</v>
      </c>
      <c r="F11" s="237">
        <f t="shared" si="1"/>
        <v>0</v>
      </c>
      <c r="G11" s="237">
        <f t="shared" si="1"/>
        <v>0</v>
      </c>
      <c r="H11" s="237">
        <f t="shared" si="1"/>
        <v>48724</v>
      </c>
    </row>
    <row r="12" spans="1:8" s="106" customFormat="1" x14ac:dyDescent="0.25">
      <c r="A12" s="68" t="s">
        <v>178</v>
      </c>
      <c r="B12" s="85" t="s">
        <v>180</v>
      </c>
      <c r="C12" s="229">
        <f>SUM(D12:H12)</f>
        <v>4642712</v>
      </c>
      <c r="D12" s="230">
        <f>4471023+50000</f>
        <v>4521023</v>
      </c>
      <c r="E12" s="215">
        <v>99500</v>
      </c>
      <c r="F12" s="214">
        <v>0</v>
      </c>
      <c r="G12" s="214">
        <v>0</v>
      </c>
      <c r="H12" s="214">
        <v>22189</v>
      </c>
    </row>
    <row r="13" spans="1:8" s="106" customFormat="1" ht="30" x14ac:dyDescent="0.25">
      <c r="A13" s="70" t="s">
        <v>282</v>
      </c>
      <c r="B13" s="86" t="s">
        <v>283</v>
      </c>
      <c r="C13" s="229">
        <f>SUM(D13:H13)</f>
        <v>25735</v>
      </c>
      <c r="D13" s="230">
        <v>0</v>
      </c>
      <c r="E13" s="215">
        <v>0</v>
      </c>
      <c r="F13" s="214">
        <v>0</v>
      </c>
      <c r="G13" s="214">
        <v>0</v>
      </c>
      <c r="H13" s="214">
        <v>25735</v>
      </c>
    </row>
    <row r="14" spans="1:8" s="106" customFormat="1" ht="45" x14ac:dyDescent="0.25">
      <c r="A14" s="70" t="s">
        <v>578</v>
      </c>
      <c r="B14" s="86" t="s">
        <v>583</v>
      </c>
      <c r="C14" s="229">
        <f>SUM(D14:H14)</f>
        <v>800</v>
      </c>
      <c r="D14" s="230">
        <v>0</v>
      </c>
      <c r="E14" s="215">
        <v>0</v>
      </c>
      <c r="F14" s="215">
        <v>0</v>
      </c>
      <c r="G14" s="215">
        <v>0</v>
      </c>
      <c r="H14" s="215">
        <v>800</v>
      </c>
    </row>
    <row r="15" spans="1:8" x14ac:dyDescent="0.25">
      <c r="A15" s="28" t="s">
        <v>37</v>
      </c>
      <c r="B15" s="29" t="s">
        <v>62</v>
      </c>
      <c r="C15" s="216">
        <f>SUM(C16:C18)</f>
        <v>384180</v>
      </c>
      <c r="D15" s="213">
        <f>D16+D18+D17</f>
        <v>384180</v>
      </c>
      <c r="E15" s="213">
        <f>E16+E18+E17</f>
        <v>0</v>
      </c>
      <c r="F15" s="213">
        <f>F16+F18+F17</f>
        <v>0</v>
      </c>
      <c r="G15" s="213">
        <f>G16+G18+G17</f>
        <v>0</v>
      </c>
      <c r="H15" s="213">
        <f>H16+H18+H17</f>
        <v>0</v>
      </c>
    </row>
    <row r="16" spans="1:8" s="106" customFormat="1" ht="30" x14ac:dyDescent="0.25">
      <c r="A16" s="70" t="s">
        <v>134</v>
      </c>
      <c r="B16" s="86" t="s">
        <v>658</v>
      </c>
      <c r="C16" s="229">
        <f t="shared" ref="C16:C104" si="2">SUM(D16+E16+F16+G16+H16)</f>
        <v>9154</v>
      </c>
      <c r="D16" s="214">
        <v>9154</v>
      </c>
      <c r="E16" s="214">
        <v>0</v>
      </c>
      <c r="F16" s="214">
        <v>0</v>
      </c>
      <c r="G16" s="214">
        <v>0</v>
      </c>
      <c r="H16" s="215">
        <v>0</v>
      </c>
    </row>
    <row r="17" spans="1:8" s="106" customFormat="1" ht="30" x14ac:dyDescent="0.25">
      <c r="A17" s="70" t="s">
        <v>135</v>
      </c>
      <c r="B17" s="86" t="s">
        <v>367</v>
      </c>
      <c r="C17" s="229">
        <f t="shared" si="2"/>
        <v>283446</v>
      </c>
      <c r="D17" s="215">
        <v>283446</v>
      </c>
      <c r="E17" s="215">
        <v>0</v>
      </c>
      <c r="F17" s="215">
        <v>0</v>
      </c>
      <c r="G17" s="215">
        <v>0</v>
      </c>
      <c r="H17" s="215">
        <v>0</v>
      </c>
    </row>
    <row r="18" spans="1:8" s="106" customFormat="1" ht="31.5" customHeight="1" x14ac:dyDescent="0.25">
      <c r="A18" s="68" t="s">
        <v>226</v>
      </c>
      <c r="B18" s="86" t="s">
        <v>637</v>
      </c>
      <c r="C18" s="229">
        <f>SUM(D18+E18+F18+G18+H18)</f>
        <v>91580</v>
      </c>
      <c r="D18" s="215">
        <v>91580</v>
      </c>
      <c r="E18" s="214">
        <v>0</v>
      </c>
      <c r="F18" s="214">
        <v>0</v>
      </c>
      <c r="G18" s="214">
        <v>0</v>
      </c>
      <c r="H18" s="214">
        <v>0</v>
      </c>
    </row>
    <row r="19" spans="1:8" s="107" customFormat="1" ht="19.5" customHeight="1" x14ac:dyDescent="0.2">
      <c r="A19" s="65" t="s">
        <v>45</v>
      </c>
      <c r="B19" s="84" t="s">
        <v>359</v>
      </c>
      <c r="C19" s="216">
        <f>SUM(D19:H19)</f>
        <v>814530</v>
      </c>
      <c r="D19" s="216">
        <f>D20+D21</f>
        <v>643072</v>
      </c>
      <c r="E19" s="216">
        <f>E20+E21</f>
        <v>0</v>
      </c>
      <c r="F19" s="216">
        <f>F20+F21</f>
        <v>162304</v>
      </c>
      <c r="G19" s="216">
        <f>G20+G21</f>
        <v>0</v>
      </c>
      <c r="H19" s="216">
        <f>H20+H21</f>
        <v>9154</v>
      </c>
    </row>
    <row r="20" spans="1:8" x14ac:dyDescent="0.25">
      <c r="A20" s="70" t="s">
        <v>360</v>
      </c>
      <c r="B20" s="86" t="s">
        <v>294</v>
      </c>
      <c r="C20" s="229">
        <f t="shared" si="2"/>
        <v>642364</v>
      </c>
      <c r="D20" s="215">
        <v>642364</v>
      </c>
      <c r="E20" s="214">
        <v>0</v>
      </c>
      <c r="F20" s="214">
        <v>0</v>
      </c>
      <c r="G20" s="214">
        <v>0</v>
      </c>
      <c r="H20" s="214">
        <v>0</v>
      </c>
    </row>
    <row r="21" spans="1:8" ht="45" x14ac:dyDescent="0.25">
      <c r="A21" s="70" t="s">
        <v>355</v>
      </c>
      <c r="B21" s="86" t="s">
        <v>512</v>
      </c>
      <c r="C21" s="229">
        <f t="shared" si="2"/>
        <v>172166</v>
      </c>
      <c r="D21" s="215">
        <v>708</v>
      </c>
      <c r="E21" s="214">
        <v>0</v>
      </c>
      <c r="F21" s="214">
        <v>162304</v>
      </c>
      <c r="G21" s="214">
        <v>0</v>
      </c>
      <c r="H21" s="215">
        <v>9154</v>
      </c>
    </row>
    <row r="22" spans="1:8" ht="15.75" customHeight="1" x14ac:dyDescent="0.25">
      <c r="A22" s="54" t="s">
        <v>247</v>
      </c>
      <c r="B22" s="32" t="s">
        <v>656</v>
      </c>
      <c r="C22" s="216">
        <f t="shared" si="2"/>
        <v>50000</v>
      </c>
      <c r="D22" s="216">
        <f>D23</f>
        <v>50000</v>
      </c>
      <c r="E22" s="216">
        <f t="shared" ref="E22:H22" si="3">E23</f>
        <v>0</v>
      </c>
      <c r="F22" s="216">
        <f t="shared" si="3"/>
        <v>0</v>
      </c>
      <c r="G22" s="216">
        <f t="shared" si="3"/>
        <v>0</v>
      </c>
      <c r="H22" s="216">
        <f t="shared" si="3"/>
        <v>0</v>
      </c>
    </row>
    <row r="23" spans="1:8" x14ac:dyDescent="0.25">
      <c r="A23" s="70" t="s">
        <v>657</v>
      </c>
      <c r="B23" s="86" t="s">
        <v>345</v>
      </c>
      <c r="C23" s="229">
        <f t="shared" si="2"/>
        <v>50000</v>
      </c>
      <c r="D23" s="215">
        <v>50000</v>
      </c>
      <c r="E23" s="215">
        <v>0</v>
      </c>
      <c r="F23" s="215">
        <v>0</v>
      </c>
      <c r="G23" s="215">
        <v>0</v>
      </c>
      <c r="H23" s="215">
        <v>0</v>
      </c>
    </row>
    <row r="24" spans="1:8" x14ac:dyDescent="0.25">
      <c r="A24" s="69" t="s">
        <v>38</v>
      </c>
      <c r="B24" s="29" t="s">
        <v>558</v>
      </c>
      <c r="C24" s="216">
        <f>SUM(D24+E24+F24+G24+H24)</f>
        <v>301490</v>
      </c>
      <c r="D24" s="216">
        <f>D25</f>
        <v>301490</v>
      </c>
      <c r="E24" s="216">
        <f>E25</f>
        <v>0</v>
      </c>
      <c r="F24" s="216">
        <f>F25</f>
        <v>0</v>
      </c>
      <c r="G24" s="216">
        <f>G25</f>
        <v>0</v>
      </c>
      <c r="H24" s="216">
        <f>H25</f>
        <v>0</v>
      </c>
    </row>
    <row r="25" spans="1:8" x14ac:dyDescent="0.25">
      <c r="A25" s="68" t="s">
        <v>557</v>
      </c>
      <c r="B25" s="85" t="s">
        <v>295</v>
      </c>
      <c r="C25" s="229">
        <f t="shared" si="2"/>
        <v>301490</v>
      </c>
      <c r="D25" s="215">
        <v>301490</v>
      </c>
      <c r="E25" s="214">
        <v>0</v>
      </c>
      <c r="F25" s="214">
        <v>0</v>
      </c>
      <c r="G25" s="215">
        <v>0</v>
      </c>
      <c r="H25" s="215">
        <v>0</v>
      </c>
    </row>
    <row r="26" spans="1:8" ht="28.5" x14ac:dyDescent="0.25">
      <c r="A26" s="54" t="s">
        <v>40</v>
      </c>
      <c r="B26" s="32" t="s">
        <v>10</v>
      </c>
      <c r="C26" s="216">
        <f t="shared" si="2"/>
        <v>1611558</v>
      </c>
      <c r="D26" s="216">
        <f>D27+D28</f>
        <v>973371</v>
      </c>
      <c r="E26" s="216">
        <f t="shared" ref="E26:H26" si="4">E27+E28</f>
        <v>0</v>
      </c>
      <c r="F26" s="216">
        <f t="shared" si="4"/>
        <v>0</v>
      </c>
      <c r="G26" s="216">
        <f t="shared" si="4"/>
        <v>636544</v>
      </c>
      <c r="H26" s="216">
        <f t="shared" si="4"/>
        <v>1643</v>
      </c>
    </row>
    <row r="27" spans="1:8" s="108" customFormat="1" ht="30" x14ac:dyDescent="0.25">
      <c r="A27" s="70" t="s">
        <v>63</v>
      </c>
      <c r="B27" s="86" t="s">
        <v>65</v>
      </c>
      <c r="C27" s="229">
        <f>SUM(D27+E27+F27+G27+H27)</f>
        <v>940923</v>
      </c>
      <c r="D27" s="215">
        <v>302736</v>
      </c>
      <c r="E27" s="215">
        <v>0</v>
      </c>
      <c r="F27" s="215">
        <v>0</v>
      </c>
      <c r="G27" s="215">
        <v>636544</v>
      </c>
      <c r="H27" s="215">
        <v>1643</v>
      </c>
    </row>
    <row r="28" spans="1:8" s="106" customFormat="1" ht="30" x14ac:dyDescent="0.25">
      <c r="A28" s="70" t="s">
        <v>64</v>
      </c>
      <c r="B28" s="86" t="s">
        <v>66</v>
      </c>
      <c r="C28" s="229">
        <f>SUM(D28+E28+F28+G28+H28)</f>
        <v>670635</v>
      </c>
      <c r="D28" s="215">
        <v>670635</v>
      </c>
      <c r="E28" s="215">
        <v>0</v>
      </c>
      <c r="F28" s="215">
        <v>0</v>
      </c>
      <c r="G28" s="215">
        <v>0</v>
      </c>
      <c r="H28" s="215">
        <v>0</v>
      </c>
    </row>
    <row r="29" spans="1:8" ht="28.5" x14ac:dyDescent="0.25">
      <c r="A29" s="83" t="s">
        <v>41</v>
      </c>
      <c r="B29" s="32" t="s">
        <v>559</v>
      </c>
      <c r="C29" s="216">
        <f t="shared" si="2"/>
        <v>500000</v>
      </c>
      <c r="D29" s="216">
        <f>D30</f>
        <v>500000</v>
      </c>
      <c r="E29" s="216">
        <f>E30</f>
        <v>0</v>
      </c>
      <c r="F29" s="216">
        <f>F30</f>
        <v>0</v>
      </c>
      <c r="G29" s="216">
        <f>G30</f>
        <v>0</v>
      </c>
      <c r="H29" s="216">
        <f>H30</f>
        <v>0</v>
      </c>
    </row>
    <row r="30" spans="1:8" x14ac:dyDescent="0.25">
      <c r="A30" s="30" t="s">
        <v>560</v>
      </c>
      <c r="B30" s="86" t="s">
        <v>296</v>
      </c>
      <c r="C30" s="229">
        <f>SUM(D30+E30+F30+G30+H30)</f>
        <v>500000</v>
      </c>
      <c r="D30" s="215">
        <v>500000</v>
      </c>
      <c r="E30" s="215">
        <v>0</v>
      </c>
      <c r="F30" s="215">
        <v>0</v>
      </c>
      <c r="G30" s="215">
        <v>0</v>
      </c>
      <c r="H30" s="215">
        <v>0</v>
      </c>
    </row>
    <row r="31" spans="1:8" s="87" customFormat="1" x14ac:dyDescent="0.25">
      <c r="A31" s="26" t="s">
        <v>30</v>
      </c>
      <c r="B31" s="27" t="s">
        <v>11</v>
      </c>
      <c r="C31" s="235">
        <f t="shared" si="2"/>
        <v>4267788</v>
      </c>
      <c r="D31" s="235">
        <f>D32+D35</f>
        <v>3611108</v>
      </c>
      <c r="E31" s="235">
        <f>E32+E35</f>
        <v>234357</v>
      </c>
      <c r="F31" s="235">
        <f>F32+F35</f>
        <v>157341</v>
      </c>
      <c r="G31" s="235">
        <f>G32+G35</f>
        <v>0</v>
      </c>
      <c r="H31" s="235">
        <f>H32+H35</f>
        <v>264982</v>
      </c>
    </row>
    <row r="32" spans="1:8" s="87" customFormat="1" x14ac:dyDescent="0.25">
      <c r="A32" s="54" t="s">
        <v>561</v>
      </c>
      <c r="B32" s="32" t="s">
        <v>562</v>
      </c>
      <c r="C32" s="216">
        <f>SUM(D32+E32+F32+G32+H32)</f>
        <v>3430289</v>
      </c>
      <c r="D32" s="216">
        <f>D33+D34</f>
        <v>2952334</v>
      </c>
      <c r="E32" s="216">
        <f t="shared" ref="E32:H32" si="5">E33+E34</f>
        <v>234357</v>
      </c>
      <c r="F32" s="216">
        <f t="shared" si="5"/>
        <v>66158</v>
      </c>
      <c r="G32" s="216">
        <f t="shared" si="5"/>
        <v>0</v>
      </c>
      <c r="H32" s="216">
        <f t="shared" si="5"/>
        <v>177440</v>
      </c>
    </row>
    <row r="33" spans="1:8" ht="30" x14ac:dyDescent="0.25">
      <c r="A33" s="70" t="s">
        <v>750</v>
      </c>
      <c r="B33" s="86" t="s">
        <v>368</v>
      </c>
      <c r="C33" s="229">
        <f t="shared" si="2"/>
        <v>3191220</v>
      </c>
      <c r="D33" s="215">
        <f>2821959+20477</f>
        <v>2842436</v>
      </c>
      <c r="E33" s="215">
        <v>234357</v>
      </c>
      <c r="F33" s="215">
        <v>0</v>
      </c>
      <c r="G33" s="215">
        <v>0</v>
      </c>
      <c r="H33" s="215">
        <v>114427</v>
      </c>
    </row>
    <row r="34" spans="1:8" ht="30" x14ac:dyDescent="0.25">
      <c r="A34" s="70" t="s">
        <v>751</v>
      </c>
      <c r="B34" s="86" t="s">
        <v>752</v>
      </c>
      <c r="C34" s="229">
        <f t="shared" si="2"/>
        <v>239069</v>
      </c>
      <c r="D34" s="215">
        <v>109898</v>
      </c>
      <c r="E34" s="215">
        <v>0</v>
      </c>
      <c r="F34" s="215">
        <v>66158</v>
      </c>
      <c r="G34" s="215">
        <v>0</v>
      </c>
      <c r="H34" s="215">
        <v>63013</v>
      </c>
    </row>
    <row r="35" spans="1:8" ht="28.5" x14ac:dyDescent="0.25">
      <c r="A35" s="54" t="s">
        <v>42</v>
      </c>
      <c r="B35" s="32" t="s">
        <v>67</v>
      </c>
      <c r="C35" s="216">
        <f t="shared" si="2"/>
        <v>837499</v>
      </c>
      <c r="D35" s="216">
        <f>D36+D37</f>
        <v>658774</v>
      </c>
      <c r="E35" s="216">
        <f t="shared" ref="E35:H35" si="6">E36+E37</f>
        <v>0</v>
      </c>
      <c r="F35" s="216">
        <f t="shared" si="6"/>
        <v>91183</v>
      </c>
      <c r="G35" s="216">
        <f t="shared" si="6"/>
        <v>0</v>
      </c>
      <c r="H35" s="216">
        <f t="shared" si="6"/>
        <v>87542</v>
      </c>
    </row>
    <row r="36" spans="1:8" s="106" customFormat="1" ht="30" x14ac:dyDescent="0.25">
      <c r="A36" s="70" t="s">
        <v>84</v>
      </c>
      <c r="B36" s="89" t="s">
        <v>563</v>
      </c>
      <c r="C36" s="229">
        <f>SUM(D36+E36+F36+G36+H36)</f>
        <v>353672</v>
      </c>
      <c r="D36" s="215">
        <v>266130</v>
      </c>
      <c r="E36" s="215">
        <v>0</v>
      </c>
      <c r="F36" s="215">
        <v>0</v>
      </c>
      <c r="G36" s="215">
        <v>0</v>
      </c>
      <c r="H36" s="215">
        <v>87542</v>
      </c>
    </row>
    <row r="37" spans="1:8" s="106" customFormat="1" ht="45" x14ac:dyDescent="0.25">
      <c r="A37" s="70" t="s">
        <v>753</v>
      </c>
      <c r="B37" s="89" t="s">
        <v>754</v>
      </c>
      <c r="C37" s="229">
        <f t="shared" ref="C37" si="7">SUM(D37+E37+F37+G37+H37)</f>
        <v>483827</v>
      </c>
      <c r="D37" s="215">
        <v>392644</v>
      </c>
      <c r="E37" s="215">
        <v>0</v>
      </c>
      <c r="F37" s="215">
        <v>91183</v>
      </c>
      <c r="G37" s="215">
        <v>0</v>
      </c>
      <c r="H37" s="215">
        <v>0</v>
      </c>
    </row>
    <row r="38" spans="1:8" s="87" customFormat="1" x14ac:dyDescent="0.25">
      <c r="A38" s="26" t="s">
        <v>31</v>
      </c>
      <c r="B38" s="27" t="s">
        <v>12</v>
      </c>
      <c r="C38" s="235">
        <f>SUM(D38:H38)</f>
        <v>16257012</v>
      </c>
      <c r="D38" s="235">
        <f>SUM(D39+D44+D51+D49)</f>
        <v>7799719</v>
      </c>
      <c r="E38" s="235">
        <f>SUM(E39+E44+E51+E49)</f>
        <v>30950</v>
      </c>
      <c r="F38" s="235">
        <f>SUM(F39+F44+F51+F49)</f>
        <v>7356027</v>
      </c>
      <c r="G38" s="235">
        <f>SUM(G39+G44+G51+G49)</f>
        <v>24155</v>
      </c>
      <c r="H38" s="235">
        <f>SUM(H39+H44+H51+H49)</f>
        <v>1046161</v>
      </c>
    </row>
    <row r="39" spans="1:8" x14ac:dyDescent="0.25">
      <c r="A39" s="29" t="s">
        <v>43</v>
      </c>
      <c r="B39" s="29" t="s">
        <v>44</v>
      </c>
      <c r="C39" s="216">
        <f>SUM(D39:H39)</f>
        <v>8308559</v>
      </c>
      <c r="D39" s="213">
        <f>SUM(D40:D43)</f>
        <v>4032783</v>
      </c>
      <c r="E39" s="213">
        <f>SUM(E40:E43)</f>
        <v>0</v>
      </c>
      <c r="F39" s="213">
        <f>SUM(F40:F43)</f>
        <v>3469652</v>
      </c>
      <c r="G39" s="213">
        <f>SUM(G40:G43)</f>
        <v>0</v>
      </c>
      <c r="H39" s="213">
        <f>SUM(H40:H43)</f>
        <v>806124</v>
      </c>
    </row>
    <row r="40" spans="1:8" s="106" customFormat="1" ht="30" x14ac:dyDescent="0.25">
      <c r="A40" s="70" t="s">
        <v>68</v>
      </c>
      <c r="B40" s="86" t="s">
        <v>129</v>
      </c>
      <c r="C40" s="229">
        <f t="shared" ref="C40:C43" si="8">SUM(D40:H40)</f>
        <v>1991655</v>
      </c>
      <c r="D40" s="215">
        <v>454965</v>
      </c>
      <c r="E40" s="215">
        <v>0</v>
      </c>
      <c r="F40" s="215">
        <v>1369537</v>
      </c>
      <c r="G40" s="215">
        <v>0</v>
      </c>
      <c r="H40" s="215">
        <f>3638+163515</f>
        <v>167153</v>
      </c>
    </row>
    <row r="41" spans="1:8" s="106" customFormat="1" ht="30" x14ac:dyDescent="0.25">
      <c r="A41" s="70" t="s">
        <v>94</v>
      </c>
      <c r="B41" s="91" t="s">
        <v>862</v>
      </c>
      <c r="C41" s="229">
        <f t="shared" si="8"/>
        <v>3005974</v>
      </c>
      <c r="D41" s="215">
        <v>1585969</v>
      </c>
      <c r="E41" s="215">
        <v>0</v>
      </c>
      <c r="F41" s="215">
        <v>842891</v>
      </c>
      <c r="G41" s="215">
        <v>0</v>
      </c>
      <c r="H41" s="215">
        <v>577114</v>
      </c>
    </row>
    <row r="42" spans="1:8" s="106" customFormat="1" ht="34.5" customHeight="1" x14ac:dyDescent="0.25">
      <c r="A42" s="66" t="s">
        <v>643</v>
      </c>
      <c r="B42" s="86" t="s">
        <v>644</v>
      </c>
      <c r="C42" s="229">
        <f t="shared" si="8"/>
        <v>2213059</v>
      </c>
      <c r="D42" s="215">
        <f>20013+1099404</f>
        <v>1119417</v>
      </c>
      <c r="E42" s="215">
        <v>0</v>
      </c>
      <c r="F42" s="215">
        <v>1038885</v>
      </c>
      <c r="G42" s="215">
        <v>0</v>
      </c>
      <c r="H42" s="215">
        <v>54757</v>
      </c>
    </row>
    <row r="43" spans="1:8" s="106" customFormat="1" ht="36.75" customHeight="1" x14ac:dyDescent="0.25">
      <c r="A43" s="66" t="s">
        <v>755</v>
      </c>
      <c r="B43" s="86" t="s">
        <v>756</v>
      </c>
      <c r="C43" s="229">
        <f t="shared" si="8"/>
        <v>1097871</v>
      </c>
      <c r="D43" s="215">
        <v>872432</v>
      </c>
      <c r="E43" s="215">
        <v>0</v>
      </c>
      <c r="F43" s="215">
        <v>218339</v>
      </c>
      <c r="G43" s="215">
        <v>0</v>
      </c>
      <c r="H43" s="215">
        <v>7100</v>
      </c>
    </row>
    <row r="44" spans="1:8" x14ac:dyDescent="0.25">
      <c r="A44" s="71" t="s">
        <v>95</v>
      </c>
      <c r="B44" s="53" t="s">
        <v>136</v>
      </c>
      <c r="C44" s="216">
        <f>SUM(D44:H44)</f>
        <v>3640216</v>
      </c>
      <c r="D44" s="216">
        <f>SUM(D45:D48)</f>
        <v>1431004</v>
      </c>
      <c r="E44" s="216">
        <f>SUM(E45:E48)</f>
        <v>30950</v>
      </c>
      <c r="F44" s="216">
        <f>SUM(F45:F48)</f>
        <v>1914070</v>
      </c>
      <c r="G44" s="216">
        <f>SUM(G45:G48)</f>
        <v>24155</v>
      </c>
      <c r="H44" s="216">
        <f>SUM(H45:H48)</f>
        <v>240037</v>
      </c>
    </row>
    <row r="45" spans="1:8" s="106" customFormat="1" ht="30" x14ac:dyDescent="0.25">
      <c r="A45" s="72" t="s">
        <v>141</v>
      </c>
      <c r="B45" s="92" t="s">
        <v>369</v>
      </c>
      <c r="C45" s="229">
        <f t="shared" si="2"/>
        <v>428130</v>
      </c>
      <c r="D45" s="215">
        <v>372963</v>
      </c>
      <c r="E45" s="215">
        <v>30950</v>
      </c>
      <c r="F45" s="215">
        <v>0</v>
      </c>
      <c r="G45" s="215">
        <v>24155</v>
      </c>
      <c r="H45" s="215">
        <v>62</v>
      </c>
    </row>
    <row r="46" spans="1:8" s="106" customFormat="1" ht="45" x14ac:dyDescent="0.25">
      <c r="A46" s="72" t="s">
        <v>508</v>
      </c>
      <c r="B46" s="92" t="s">
        <v>490</v>
      </c>
      <c r="C46" s="229">
        <f>SUM(D46+E46+F46+G46+H46)</f>
        <v>1215611</v>
      </c>
      <c r="D46" s="215">
        <f>92990+735000</f>
        <v>827990</v>
      </c>
      <c r="E46" s="215">
        <v>0</v>
      </c>
      <c r="F46" s="215">
        <v>163481</v>
      </c>
      <c r="G46" s="215">
        <v>0</v>
      </c>
      <c r="H46" s="215">
        <v>224140</v>
      </c>
    </row>
    <row r="47" spans="1:8" s="106" customFormat="1" ht="45" x14ac:dyDescent="0.25">
      <c r="A47" s="72" t="s">
        <v>757</v>
      </c>
      <c r="B47" s="92" t="s">
        <v>759</v>
      </c>
      <c r="C47" s="229">
        <f>SUM(D47+E47+F47+G47+H47)</f>
        <v>428916</v>
      </c>
      <c r="D47" s="215">
        <f>49051+181000</f>
        <v>230051</v>
      </c>
      <c r="E47" s="215">
        <v>0</v>
      </c>
      <c r="F47" s="215">
        <v>183030</v>
      </c>
      <c r="G47" s="215">
        <v>0</v>
      </c>
      <c r="H47" s="215">
        <v>15835</v>
      </c>
    </row>
    <row r="48" spans="1:8" s="106" customFormat="1" ht="30" x14ac:dyDescent="0.25">
      <c r="A48" s="72" t="s">
        <v>758</v>
      </c>
      <c r="B48" s="92" t="s">
        <v>760</v>
      </c>
      <c r="C48" s="229">
        <f>SUM(D48+E48+F48+G48+H48)</f>
        <v>1567559</v>
      </c>
      <c r="D48" s="215">
        <v>0</v>
      </c>
      <c r="E48" s="215">
        <v>0</v>
      </c>
      <c r="F48" s="215">
        <v>1567559</v>
      </c>
      <c r="G48" s="215">
        <v>0</v>
      </c>
      <c r="H48" s="215">
        <v>0</v>
      </c>
    </row>
    <row r="49" spans="1:8" s="106" customFormat="1" x14ac:dyDescent="0.25">
      <c r="A49" s="71" t="s">
        <v>509</v>
      </c>
      <c r="B49" s="76" t="s">
        <v>510</v>
      </c>
      <c r="C49" s="216">
        <f>SUM(D49+E49+F49+G49+H49)</f>
        <v>4168337</v>
      </c>
      <c r="D49" s="216">
        <f>D50</f>
        <v>2196032</v>
      </c>
      <c r="E49" s="216">
        <f t="shared" ref="E49:H49" si="9">E50</f>
        <v>0</v>
      </c>
      <c r="F49" s="216">
        <f t="shared" si="9"/>
        <v>1972305</v>
      </c>
      <c r="G49" s="216">
        <f t="shared" si="9"/>
        <v>0</v>
      </c>
      <c r="H49" s="216">
        <f t="shared" si="9"/>
        <v>0</v>
      </c>
    </row>
    <row r="50" spans="1:8" s="106" customFormat="1" ht="30" x14ac:dyDescent="0.25">
      <c r="A50" s="72" t="s">
        <v>769</v>
      </c>
      <c r="B50" s="92" t="s">
        <v>770</v>
      </c>
      <c r="C50" s="229">
        <f>SUM(D50+E50+F50+G50+H50)</f>
        <v>4168337</v>
      </c>
      <c r="D50" s="215">
        <v>2196032</v>
      </c>
      <c r="E50" s="215">
        <v>0</v>
      </c>
      <c r="F50" s="215">
        <v>1972305</v>
      </c>
      <c r="G50" s="215">
        <v>0</v>
      </c>
      <c r="H50" s="215">
        <v>0</v>
      </c>
    </row>
    <row r="51" spans="1:8" s="106" customFormat="1" x14ac:dyDescent="0.25">
      <c r="A51" s="71" t="s">
        <v>137</v>
      </c>
      <c r="B51" s="90" t="s">
        <v>740</v>
      </c>
      <c r="C51" s="216">
        <f>SUM(D51:H51)</f>
        <v>139900</v>
      </c>
      <c r="D51" s="216">
        <f>SUM(D52:D54)</f>
        <v>139900</v>
      </c>
      <c r="E51" s="216">
        <f>SUM(E52:E54)</f>
        <v>0</v>
      </c>
      <c r="F51" s="213">
        <f>SUM(F52:F54)</f>
        <v>0</v>
      </c>
      <c r="G51" s="213">
        <f>SUM(G52:G54)</f>
        <v>0</v>
      </c>
      <c r="H51" s="213">
        <f>SUM(H52:H54)</f>
        <v>0</v>
      </c>
    </row>
    <row r="52" spans="1:8" s="106" customFormat="1" ht="30" x14ac:dyDescent="0.25">
      <c r="A52" s="70" t="s">
        <v>160</v>
      </c>
      <c r="B52" s="86" t="s">
        <v>161</v>
      </c>
      <c r="C52" s="229">
        <f>SUM(D52+E52+F52+G52+H52)</f>
        <v>39900</v>
      </c>
      <c r="D52" s="215">
        <v>39900</v>
      </c>
      <c r="E52" s="215">
        <v>0</v>
      </c>
      <c r="F52" s="215">
        <v>0</v>
      </c>
      <c r="G52" s="215">
        <v>0</v>
      </c>
      <c r="H52" s="215">
        <v>0</v>
      </c>
    </row>
    <row r="53" spans="1:8" s="106" customFormat="1" hidden="1" x14ac:dyDescent="0.25">
      <c r="A53" s="234" t="s">
        <v>232</v>
      </c>
      <c r="B53" s="211" t="s">
        <v>233</v>
      </c>
      <c r="C53" s="75">
        <f>SUM(D53+E53+F53+G53+H53)</f>
        <v>0</v>
      </c>
      <c r="D53" s="74"/>
      <c r="E53" s="74"/>
      <c r="F53" s="74"/>
      <c r="G53" s="74"/>
      <c r="H53" s="74"/>
    </row>
    <row r="54" spans="1:8" s="106" customFormat="1" ht="35.25" customHeight="1" x14ac:dyDescent="0.25">
      <c r="A54" s="73" t="s">
        <v>777</v>
      </c>
      <c r="B54" s="86" t="s">
        <v>778</v>
      </c>
      <c r="C54" s="229">
        <f>SUM(D54+E54+F54+G54+H54)</f>
        <v>100000</v>
      </c>
      <c r="D54" s="215">
        <v>100000</v>
      </c>
      <c r="E54" s="215">
        <v>0</v>
      </c>
      <c r="F54" s="215">
        <v>0</v>
      </c>
      <c r="G54" s="215">
        <v>0</v>
      </c>
      <c r="H54" s="215">
        <v>0</v>
      </c>
    </row>
    <row r="55" spans="1:8" s="87" customFormat="1" x14ac:dyDescent="0.25">
      <c r="A55" s="26" t="s">
        <v>32</v>
      </c>
      <c r="B55" s="27" t="s">
        <v>13</v>
      </c>
      <c r="C55" s="235">
        <f>SUM(D55+E55+F55+G55+H55)</f>
        <v>5000006</v>
      </c>
      <c r="D55" s="235">
        <f>D56+D59+D61+D64</f>
        <v>3317654</v>
      </c>
      <c r="E55" s="235">
        <f>E56+E59+E61+E64</f>
        <v>0</v>
      </c>
      <c r="F55" s="235">
        <f>F56+F59+F61+F64</f>
        <v>1586325</v>
      </c>
      <c r="G55" s="235">
        <f>G56+G59+G61+G64</f>
        <v>0</v>
      </c>
      <c r="H55" s="235">
        <f>H56+H59+H61+H64</f>
        <v>96027</v>
      </c>
    </row>
    <row r="56" spans="1:8" x14ac:dyDescent="0.25">
      <c r="A56" s="54" t="s">
        <v>46</v>
      </c>
      <c r="B56" s="32" t="s">
        <v>47</v>
      </c>
      <c r="C56" s="216">
        <f t="shared" si="2"/>
        <v>1712609</v>
      </c>
      <c r="D56" s="216">
        <f>SUM(D57+D58)</f>
        <v>1711789</v>
      </c>
      <c r="E56" s="213">
        <f>SUM(E57+E58)</f>
        <v>0</v>
      </c>
      <c r="F56" s="213">
        <f>SUM(F57+F58)</f>
        <v>0</v>
      </c>
      <c r="G56" s="213">
        <f>SUM(G57+G58)</f>
        <v>0</v>
      </c>
      <c r="H56" s="213">
        <f>SUM(H57+H58)</f>
        <v>820</v>
      </c>
    </row>
    <row r="57" spans="1:8" s="106" customFormat="1" ht="30" x14ac:dyDescent="0.25">
      <c r="A57" s="70" t="s">
        <v>69</v>
      </c>
      <c r="B57" s="86" t="s">
        <v>251</v>
      </c>
      <c r="C57" s="229">
        <f t="shared" si="2"/>
        <v>1145704</v>
      </c>
      <c r="D57" s="215">
        <v>1144884</v>
      </c>
      <c r="E57" s="215">
        <v>0</v>
      </c>
      <c r="F57" s="215">
        <v>0</v>
      </c>
      <c r="G57" s="215">
        <v>0</v>
      </c>
      <c r="H57" s="215">
        <v>820</v>
      </c>
    </row>
    <row r="58" spans="1:8" s="106" customFormat="1" ht="18.75" customHeight="1" x14ac:dyDescent="0.25">
      <c r="A58" s="70" t="s">
        <v>138</v>
      </c>
      <c r="B58" s="86" t="s">
        <v>808</v>
      </c>
      <c r="C58" s="229">
        <f t="shared" si="2"/>
        <v>566905</v>
      </c>
      <c r="D58" s="215">
        <v>566905</v>
      </c>
      <c r="E58" s="215">
        <v>0</v>
      </c>
      <c r="F58" s="215">
        <v>0</v>
      </c>
      <c r="G58" s="215">
        <v>0</v>
      </c>
      <c r="H58" s="215">
        <v>0</v>
      </c>
    </row>
    <row r="59" spans="1:8" x14ac:dyDescent="0.25">
      <c r="A59" s="54" t="s">
        <v>564</v>
      </c>
      <c r="B59" s="32" t="s">
        <v>91</v>
      </c>
      <c r="C59" s="216">
        <f t="shared" si="2"/>
        <v>455744</v>
      </c>
      <c r="D59" s="216">
        <f>D60</f>
        <v>455744</v>
      </c>
      <c r="E59" s="216">
        <f>E60</f>
        <v>0</v>
      </c>
      <c r="F59" s="216">
        <f>F60</f>
        <v>0</v>
      </c>
      <c r="G59" s="216">
        <f>G60</f>
        <v>0</v>
      </c>
      <c r="H59" s="216">
        <f>H60</f>
        <v>0</v>
      </c>
    </row>
    <row r="60" spans="1:8" x14ac:dyDescent="0.25">
      <c r="A60" s="70" t="s">
        <v>284</v>
      </c>
      <c r="B60" s="86" t="s">
        <v>91</v>
      </c>
      <c r="C60" s="229">
        <f t="shared" ref="C60:C65" si="10">SUM(D60+E60+F60+G60+H60)</f>
        <v>455744</v>
      </c>
      <c r="D60" s="215">
        <f>452744+3000</f>
        <v>455744</v>
      </c>
      <c r="E60" s="215">
        <v>0</v>
      </c>
      <c r="F60" s="215">
        <v>0</v>
      </c>
      <c r="G60" s="215">
        <v>0</v>
      </c>
      <c r="H60" s="215">
        <v>0</v>
      </c>
    </row>
    <row r="61" spans="1:8" x14ac:dyDescent="0.25">
      <c r="A61" s="54" t="s">
        <v>579</v>
      </c>
      <c r="B61" s="93" t="s">
        <v>581</v>
      </c>
      <c r="C61" s="216">
        <f t="shared" si="10"/>
        <v>2470848</v>
      </c>
      <c r="D61" s="216">
        <f>SUM(D62:D63)</f>
        <v>1103452</v>
      </c>
      <c r="E61" s="216">
        <f t="shared" ref="E61:H61" si="11">SUM(E62:E63)</f>
        <v>0</v>
      </c>
      <c r="F61" s="216">
        <f t="shared" si="11"/>
        <v>1272189</v>
      </c>
      <c r="G61" s="216">
        <f t="shared" si="11"/>
        <v>0</v>
      </c>
      <c r="H61" s="216">
        <f t="shared" si="11"/>
        <v>95207</v>
      </c>
    </row>
    <row r="62" spans="1:8" ht="30" x14ac:dyDescent="0.25">
      <c r="A62" s="70" t="s">
        <v>655</v>
      </c>
      <c r="B62" s="128" t="s">
        <v>864</v>
      </c>
      <c r="C62" s="229">
        <f t="shared" si="10"/>
        <v>135000</v>
      </c>
      <c r="D62" s="215">
        <f>88000+17000+30000</f>
        <v>135000</v>
      </c>
      <c r="E62" s="215">
        <v>0</v>
      </c>
      <c r="F62" s="215">
        <v>0</v>
      </c>
      <c r="G62" s="215">
        <v>0</v>
      </c>
      <c r="H62" s="215">
        <v>0</v>
      </c>
    </row>
    <row r="63" spans="1:8" ht="30" x14ac:dyDescent="0.25">
      <c r="A63" s="70" t="s">
        <v>580</v>
      </c>
      <c r="B63" s="86" t="s">
        <v>585</v>
      </c>
      <c r="C63" s="229">
        <f t="shared" si="10"/>
        <v>2335848</v>
      </c>
      <c r="D63" s="215">
        <v>968452</v>
      </c>
      <c r="E63" s="215">
        <v>0</v>
      </c>
      <c r="F63" s="215">
        <v>1272189</v>
      </c>
      <c r="G63" s="215">
        <v>0</v>
      </c>
      <c r="H63" s="215">
        <v>95207</v>
      </c>
    </row>
    <row r="64" spans="1:8" x14ac:dyDescent="0.25">
      <c r="A64" s="65" t="s">
        <v>356</v>
      </c>
      <c r="B64" s="29" t="s">
        <v>361</v>
      </c>
      <c r="C64" s="216">
        <f t="shared" si="10"/>
        <v>360805</v>
      </c>
      <c r="D64" s="216">
        <f>D65+D66</f>
        <v>46669</v>
      </c>
      <c r="E64" s="216">
        <f t="shared" ref="E64:H64" si="12">E65+E66</f>
        <v>0</v>
      </c>
      <c r="F64" s="216">
        <f t="shared" si="12"/>
        <v>314136</v>
      </c>
      <c r="G64" s="216">
        <f t="shared" si="12"/>
        <v>0</v>
      </c>
      <c r="H64" s="216">
        <f t="shared" si="12"/>
        <v>0</v>
      </c>
    </row>
    <row r="65" spans="1:8" ht="60" x14ac:dyDescent="0.25">
      <c r="A65" s="70" t="s">
        <v>357</v>
      </c>
      <c r="B65" s="86" t="s">
        <v>513</v>
      </c>
      <c r="C65" s="229">
        <f t="shared" si="10"/>
        <v>314136</v>
      </c>
      <c r="D65" s="215">
        <v>0</v>
      </c>
      <c r="E65" s="215">
        <v>0</v>
      </c>
      <c r="F65" s="215">
        <v>314136</v>
      </c>
      <c r="G65" s="215">
        <v>0</v>
      </c>
      <c r="H65" s="215">
        <v>0</v>
      </c>
    </row>
    <row r="66" spans="1:8" ht="30" x14ac:dyDescent="0.25">
      <c r="A66" s="70" t="s">
        <v>761</v>
      </c>
      <c r="B66" s="86" t="s">
        <v>762</v>
      </c>
      <c r="C66" s="229">
        <f t="shared" si="2"/>
        <v>46669</v>
      </c>
      <c r="D66" s="215">
        <v>46669</v>
      </c>
      <c r="E66" s="215">
        <v>0</v>
      </c>
      <c r="F66" s="215">
        <v>0</v>
      </c>
      <c r="G66" s="215">
        <v>0</v>
      </c>
      <c r="H66" s="215">
        <v>0</v>
      </c>
    </row>
    <row r="67" spans="1:8" s="87" customFormat="1" x14ac:dyDescent="0.25">
      <c r="A67" s="26" t="s">
        <v>33</v>
      </c>
      <c r="B67" s="27" t="s">
        <v>156</v>
      </c>
      <c r="C67" s="235">
        <f t="shared" si="2"/>
        <v>4836439</v>
      </c>
      <c r="D67" s="235">
        <f>SUM(D68+D70+D73)</f>
        <v>4370725</v>
      </c>
      <c r="E67" s="235">
        <f>SUM(E68+E70+E73)</f>
        <v>105340</v>
      </c>
      <c r="F67" s="235">
        <f>SUM(F68+F70+F73)</f>
        <v>0</v>
      </c>
      <c r="G67" s="235">
        <f>SUM(G68+G70+G73)</f>
        <v>0</v>
      </c>
      <c r="H67" s="235">
        <f>SUM(H68+H70+H73)</f>
        <v>360374</v>
      </c>
    </row>
    <row r="68" spans="1:8" s="87" customFormat="1" ht="15.75" customHeight="1" x14ac:dyDescent="0.25">
      <c r="A68" s="54" t="s">
        <v>565</v>
      </c>
      <c r="B68" s="32" t="s">
        <v>566</v>
      </c>
      <c r="C68" s="216">
        <f t="shared" si="2"/>
        <v>730369</v>
      </c>
      <c r="D68" s="231">
        <f>D69</f>
        <v>730369</v>
      </c>
      <c r="E68" s="231">
        <f>E69</f>
        <v>0</v>
      </c>
      <c r="F68" s="231">
        <f>F69</f>
        <v>0</v>
      </c>
      <c r="G68" s="231">
        <f>G69</f>
        <v>0</v>
      </c>
      <c r="H68" s="231">
        <f>H69</f>
        <v>0</v>
      </c>
    </row>
    <row r="69" spans="1:8" s="87" customFormat="1" ht="15.75" customHeight="1" x14ac:dyDescent="0.25">
      <c r="A69" s="70" t="s">
        <v>252</v>
      </c>
      <c r="B69" s="86" t="s">
        <v>265</v>
      </c>
      <c r="C69" s="229">
        <f>SUM(D69+E69+F69+G69+H69)</f>
        <v>730369</v>
      </c>
      <c r="D69" s="232">
        <v>730369</v>
      </c>
      <c r="E69" s="215">
        <v>0</v>
      </c>
      <c r="F69" s="215">
        <v>0</v>
      </c>
      <c r="G69" s="215">
        <v>0</v>
      </c>
      <c r="H69" s="215">
        <v>0</v>
      </c>
    </row>
    <row r="70" spans="1:8" x14ac:dyDescent="0.25">
      <c r="A70" s="54" t="s">
        <v>567</v>
      </c>
      <c r="B70" s="32" t="s">
        <v>48</v>
      </c>
      <c r="C70" s="216">
        <f t="shared" si="2"/>
        <v>1221189</v>
      </c>
      <c r="D70" s="216">
        <f>D71+D72</f>
        <v>900832</v>
      </c>
      <c r="E70" s="216">
        <f>E71+E72</f>
        <v>0</v>
      </c>
      <c r="F70" s="216">
        <f>F71+F72</f>
        <v>0</v>
      </c>
      <c r="G70" s="216">
        <f>G71+G72</f>
        <v>0</v>
      </c>
      <c r="H70" s="216">
        <f>H71+H72</f>
        <v>320357</v>
      </c>
    </row>
    <row r="71" spans="1:8" x14ac:dyDescent="0.25">
      <c r="A71" s="70" t="s">
        <v>285</v>
      </c>
      <c r="B71" s="86" t="s">
        <v>48</v>
      </c>
      <c r="C71" s="229">
        <f>SUM(D71+E71+F71+G71+H71)</f>
        <v>652774</v>
      </c>
      <c r="D71" s="215">
        <v>652774</v>
      </c>
      <c r="E71" s="215">
        <v>0</v>
      </c>
      <c r="F71" s="215">
        <v>0</v>
      </c>
      <c r="G71" s="215">
        <v>0</v>
      </c>
      <c r="H71" s="215">
        <v>0</v>
      </c>
    </row>
    <row r="72" spans="1:8" ht="45" x14ac:dyDescent="0.25">
      <c r="A72" s="70" t="s">
        <v>582</v>
      </c>
      <c r="B72" s="86" t="s">
        <v>586</v>
      </c>
      <c r="C72" s="229">
        <f>SUM(D72+E72+F72+G72+H72)</f>
        <v>568415</v>
      </c>
      <c r="D72" s="215">
        <v>248058</v>
      </c>
      <c r="E72" s="215">
        <v>0</v>
      </c>
      <c r="F72" s="215">
        <v>0</v>
      </c>
      <c r="G72" s="215">
        <v>0</v>
      </c>
      <c r="H72" s="215">
        <v>320357</v>
      </c>
    </row>
    <row r="73" spans="1:8" ht="28.5" x14ac:dyDescent="0.25">
      <c r="A73" s="54" t="s">
        <v>49</v>
      </c>
      <c r="B73" s="32" t="s">
        <v>568</v>
      </c>
      <c r="C73" s="216">
        <f t="shared" si="2"/>
        <v>2884881</v>
      </c>
      <c r="D73" s="216">
        <f>SUM(D74:D80)</f>
        <v>2739524</v>
      </c>
      <c r="E73" s="216">
        <f>SUM(E74:E80)</f>
        <v>105340</v>
      </c>
      <c r="F73" s="216">
        <f>SUM(F74:F80)</f>
        <v>0</v>
      </c>
      <c r="G73" s="216">
        <f>SUM(G74:G80)</f>
        <v>0</v>
      </c>
      <c r="H73" s="216">
        <f>SUM(H74:H80)</f>
        <v>40017</v>
      </c>
    </row>
    <row r="74" spans="1:8" s="106" customFormat="1" x14ac:dyDescent="0.25">
      <c r="A74" s="70" t="s">
        <v>70</v>
      </c>
      <c r="B74" s="86" t="s">
        <v>370</v>
      </c>
      <c r="C74" s="229">
        <f t="shared" si="2"/>
        <v>937928</v>
      </c>
      <c r="D74" s="215">
        <v>851001</v>
      </c>
      <c r="E74" s="215">
        <v>65340</v>
      </c>
      <c r="F74" s="215">
        <v>0</v>
      </c>
      <c r="G74" s="215">
        <v>0</v>
      </c>
      <c r="H74" s="214">
        <v>21587</v>
      </c>
    </row>
    <row r="75" spans="1:8" s="106" customFormat="1" ht="20.25" customHeight="1" x14ac:dyDescent="0.25">
      <c r="A75" s="70" t="s">
        <v>71</v>
      </c>
      <c r="B75" s="86" t="s">
        <v>705</v>
      </c>
      <c r="C75" s="229">
        <f t="shared" si="2"/>
        <v>1432523</v>
      </c>
      <c r="D75" s="215">
        <f>1402523+30000</f>
        <v>1432523</v>
      </c>
      <c r="E75" s="215">
        <v>0</v>
      </c>
      <c r="F75" s="215">
        <v>0</v>
      </c>
      <c r="G75" s="215">
        <v>0</v>
      </c>
      <c r="H75" s="215">
        <v>0</v>
      </c>
    </row>
    <row r="76" spans="1:8" s="106" customFormat="1" x14ac:dyDescent="0.25">
      <c r="A76" s="70" t="s">
        <v>75</v>
      </c>
      <c r="B76" s="86" t="s">
        <v>587</v>
      </c>
      <c r="C76" s="229">
        <f t="shared" si="2"/>
        <v>212366</v>
      </c>
      <c r="D76" s="215">
        <v>212366</v>
      </c>
      <c r="E76" s="215">
        <v>0</v>
      </c>
      <c r="F76" s="215">
        <v>0</v>
      </c>
      <c r="G76" s="215">
        <v>0</v>
      </c>
      <c r="H76" s="215">
        <v>0</v>
      </c>
    </row>
    <row r="77" spans="1:8" s="106" customFormat="1" ht="30" x14ac:dyDescent="0.25">
      <c r="A77" s="70" t="s">
        <v>80</v>
      </c>
      <c r="B77" s="86" t="s">
        <v>130</v>
      </c>
      <c r="C77" s="229">
        <f t="shared" si="2"/>
        <v>272382</v>
      </c>
      <c r="D77" s="215">
        <v>219134</v>
      </c>
      <c r="E77" s="215">
        <v>40000</v>
      </c>
      <c r="F77" s="215">
        <v>0</v>
      </c>
      <c r="G77" s="215">
        <v>0</v>
      </c>
      <c r="H77" s="214">
        <v>13248</v>
      </c>
    </row>
    <row r="78" spans="1:8" s="106" customFormat="1" ht="30" x14ac:dyDescent="0.25">
      <c r="A78" s="70" t="s">
        <v>245</v>
      </c>
      <c r="B78" s="86" t="s">
        <v>253</v>
      </c>
      <c r="C78" s="229">
        <f t="shared" si="2"/>
        <v>9500</v>
      </c>
      <c r="D78" s="215">
        <v>9500</v>
      </c>
      <c r="E78" s="215">
        <v>0</v>
      </c>
      <c r="F78" s="215">
        <v>0</v>
      </c>
      <c r="G78" s="215">
        <v>0</v>
      </c>
      <c r="H78" s="215">
        <v>0</v>
      </c>
    </row>
    <row r="79" spans="1:8" s="106" customFormat="1" ht="45" x14ac:dyDescent="0.25">
      <c r="A79" s="70" t="s">
        <v>354</v>
      </c>
      <c r="B79" s="86" t="s">
        <v>362</v>
      </c>
      <c r="C79" s="229">
        <f t="shared" si="2"/>
        <v>15000</v>
      </c>
      <c r="D79" s="215">
        <v>15000</v>
      </c>
      <c r="E79" s="215">
        <v>0</v>
      </c>
      <c r="F79" s="215">
        <v>0</v>
      </c>
      <c r="G79" s="215">
        <v>0</v>
      </c>
      <c r="H79" s="215">
        <v>0</v>
      </c>
    </row>
    <row r="80" spans="1:8" s="106" customFormat="1" ht="45" x14ac:dyDescent="0.25">
      <c r="A80" s="70" t="s">
        <v>363</v>
      </c>
      <c r="B80" s="86" t="s">
        <v>514</v>
      </c>
      <c r="C80" s="229">
        <f t="shared" si="2"/>
        <v>5182</v>
      </c>
      <c r="D80" s="215">
        <v>0</v>
      </c>
      <c r="E80" s="215">
        <v>0</v>
      </c>
      <c r="F80" s="215">
        <v>0</v>
      </c>
      <c r="G80" s="215">
        <v>0</v>
      </c>
      <c r="H80" s="214">
        <v>5182</v>
      </c>
    </row>
    <row r="81" spans="1:8" s="106" customFormat="1" x14ac:dyDescent="0.25">
      <c r="A81" s="26" t="s">
        <v>142</v>
      </c>
      <c r="B81" s="27" t="s">
        <v>143</v>
      </c>
      <c r="C81" s="235">
        <f t="shared" ref="C81:H81" si="13">C82+C83+C84+C85+C86+C87</f>
        <v>272084</v>
      </c>
      <c r="D81" s="235">
        <f t="shared" si="13"/>
        <v>144477</v>
      </c>
      <c r="E81" s="235">
        <f t="shared" si="13"/>
        <v>0</v>
      </c>
      <c r="F81" s="235">
        <f t="shared" si="13"/>
        <v>108016</v>
      </c>
      <c r="G81" s="235">
        <f t="shared" si="13"/>
        <v>0</v>
      </c>
      <c r="H81" s="235">
        <f t="shared" si="13"/>
        <v>19591</v>
      </c>
    </row>
    <row r="82" spans="1:8" s="106" customFormat="1" x14ac:dyDescent="0.25">
      <c r="A82" s="68" t="s">
        <v>162</v>
      </c>
      <c r="B82" s="85" t="s">
        <v>163</v>
      </c>
      <c r="C82" s="229">
        <f t="shared" si="2"/>
        <v>70300</v>
      </c>
      <c r="D82" s="214">
        <v>70300</v>
      </c>
      <c r="E82" s="215">
        <v>0</v>
      </c>
      <c r="F82" s="215">
        <v>0</v>
      </c>
      <c r="G82" s="215">
        <v>0</v>
      </c>
      <c r="H82" s="215">
        <v>0</v>
      </c>
    </row>
    <row r="83" spans="1:8" s="106" customFormat="1" ht="22.5" customHeight="1" x14ac:dyDescent="0.25">
      <c r="A83" s="68" t="s">
        <v>164</v>
      </c>
      <c r="B83" s="85" t="s">
        <v>165</v>
      </c>
      <c r="C83" s="229">
        <f t="shared" si="2"/>
        <v>11780</v>
      </c>
      <c r="D83" s="214">
        <v>11780</v>
      </c>
      <c r="E83" s="215">
        <v>0</v>
      </c>
      <c r="F83" s="215">
        <v>0</v>
      </c>
      <c r="G83" s="215">
        <v>0</v>
      </c>
      <c r="H83" s="215">
        <v>0</v>
      </c>
    </row>
    <row r="84" spans="1:8" s="106" customFormat="1" x14ac:dyDescent="0.25">
      <c r="A84" s="68" t="s">
        <v>166</v>
      </c>
      <c r="B84" s="85" t="s">
        <v>167</v>
      </c>
      <c r="C84" s="229">
        <f t="shared" si="2"/>
        <v>30875</v>
      </c>
      <c r="D84" s="214">
        <v>30875</v>
      </c>
      <c r="E84" s="215">
        <v>0</v>
      </c>
      <c r="F84" s="215">
        <v>0</v>
      </c>
      <c r="G84" s="215">
        <v>0</v>
      </c>
      <c r="H84" s="215">
        <v>0</v>
      </c>
    </row>
    <row r="85" spans="1:8" s="106" customFormat="1" x14ac:dyDescent="0.25">
      <c r="A85" s="68" t="s">
        <v>148</v>
      </c>
      <c r="B85" s="85" t="s">
        <v>254</v>
      </c>
      <c r="C85" s="229">
        <f t="shared" si="2"/>
        <v>4522</v>
      </c>
      <c r="D85" s="214">
        <v>4522</v>
      </c>
      <c r="E85" s="215">
        <v>0</v>
      </c>
      <c r="F85" s="215">
        <v>0</v>
      </c>
      <c r="G85" s="215">
        <v>0</v>
      </c>
      <c r="H85" s="215">
        <v>0</v>
      </c>
    </row>
    <row r="86" spans="1:8" s="106" customFormat="1" x14ac:dyDescent="0.25">
      <c r="A86" s="70" t="s">
        <v>358</v>
      </c>
      <c r="B86" s="86" t="s">
        <v>763</v>
      </c>
      <c r="C86" s="229">
        <f t="shared" si="2"/>
        <v>147607</v>
      </c>
      <c r="D86" s="215">
        <v>20000</v>
      </c>
      <c r="E86" s="215">
        <v>0</v>
      </c>
      <c r="F86" s="215">
        <v>108016</v>
      </c>
      <c r="G86" s="215">
        <v>0</v>
      </c>
      <c r="H86" s="215">
        <v>19591</v>
      </c>
    </row>
    <row r="87" spans="1:8" s="106" customFormat="1" ht="21" customHeight="1" x14ac:dyDescent="0.25">
      <c r="A87" s="68" t="s">
        <v>515</v>
      </c>
      <c r="B87" s="85" t="s">
        <v>516</v>
      </c>
      <c r="C87" s="229">
        <f t="shared" si="2"/>
        <v>7000</v>
      </c>
      <c r="D87" s="215">
        <v>7000</v>
      </c>
      <c r="E87" s="215">
        <v>0</v>
      </c>
      <c r="F87" s="215">
        <v>0</v>
      </c>
      <c r="G87" s="215">
        <v>0</v>
      </c>
      <c r="H87" s="215">
        <v>0</v>
      </c>
    </row>
    <row r="88" spans="1:8" s="87" customFormat="1" x14ac:dyDescent="0.25">
      <c r="A88" s="26" t="s">
        <v>34</v>
      </c>
      <c r="B88" s="27" t="s">
        <v>14</v>
      </c>
      <c r="C88" s="235">
        <f t="shared" si="2"/>
        <v>5953631</v>
      </c>
      <c r="D88" s="235">
        <f>SUM(D89+D93+D109)</f>
        <v>5621111</v>
      </c>
      <c r="E88" s="235">
        <f>SUM(E89+E93+E109)</f>
        <v>287009</v>
      </c>
      <c r="F88" s="235">
        <f>SUM(F89+F93+F109)</f>
        <v>15238</v>
      </c>
      <c r="G88" s="235">
        <f>SUM(G89+G93+G109)</f>
        <v>19764</v>
      </c>
      <c r="H88" s="235">
        <f>SUM(H89+H93+H109)</f>
        <v>10509</v>
      </c>
    </row>
    <row r="89" spans="1:8" x14ac:dyDescent="0.25">
      <c r="A89" s="69" t="s">
        <v>52</v>
      </c>
      <c r="B89" s="29" t="s">
        <v>53</v>
      </c>
      <c r="C89" s="213">
        <f>SUM(D89+E89+F89+G89+H89)</f>
        <v>1114003</v>
      </c>
      <c r="D89" s="213">
        <f>SUM(D90:D92)</f>
        <v>1090855</v>
      </c>
      <c r="E89" s="213">
        <f t="shared" ref="E89:H89" si="14">SUM(E90:E92)</f>
        <v>23148</v>
      </c>
      <c r="F89" s="213">
        <f t="shared" si="14"/>
        <v>0</v>
      </c>
      <c r="G89" s="213">
        <f t="shared" si="14"/>
        <v>0</v>
      </c>
      <c r="H89" s="213">
        <f t="shared" si="14"/>
        <v>0</v>
      </c>
    </row>
    <row r="90" spans="1:8" s="106" customFormat="1" ht="16.5" customHeight="1" x14ac:dyDescent="0.25">
      <c r="A90" s="70" t="s">
        <v>73</v>
      </c>
      <c r="B90" s="86" t="s">
        <v>371</v>
      </c>
      <c r="C90" s="229">
        <f t="shared" si="2"/>
        <v>528703</v>
      </c>
      <c r="D90" s="215">
        <v>505555</v>
      </c>
      <c r="E90" s="215">
        <v>23148</v>
      </c>
      <c r="F90" s="215">
        <v>0</v>
      </c>
      <c r="G90" s="215">
        <v>0</v>
      </c>
      <c r="H90" s="214">
        <v>0</v>
      </c>
    </row>
    <row r="91" spans="1:8" s="106" customFormat="1" x14ac:dyDescent="0.25">
      <c r="A91" s="70" t="s">
        <v>74</v>
      </c>
      <c r="B91" s="86" t="s">
        <v>131</v>
      </c>
      <c r="C91" s="229">
        <f t="shared" si="2"/>
        <v>580300</v>
      </c>
      <c r="D91" s="215">
        <v>580300</v>
      </c>
      <c r="E91" s="215">
        <v>0</v>
      </c>
      <c r="F91" s="215">
        <v>0</v>
      </c>
      <c r="G91" s="215">
        <v>0</v>
      </c>
      <c r="H91" s="215">
        <v>0</v>
      </c>
    </row>
    <row r="92" spans="1:8" s="106" customFormat="1" x14ac:dyDescent="0.25">
      <c r="A92" s="68" t="s">
        <v>184</v>
      </c>
      <c r="B92" s="85" t="s">
        <v>588</v>
      </c>
      <c r="C92" s="229">
        <f t="shared" si="2"/>
        <v>5000</v>
      </c>
      <c r="D92" s="215">
        <v>5000</v>
      </c>
      <c r="E92" s="215">
        <v>0</v>
      </c>
      <c r="F92" s="215">
        <v>0</v>
      </c>
      <c r="G92" s="215">
        <v>0</v>
      </c>
      <c r="H92" s="215">
        <v>0</v>
      </c>
    </row>
    <row r="93" spans="1:8" x14ac:dyDescent="0.25">
      <c r="A93" s="69" t="s">
        <v>54</v>
      </c>
      <c r="B93" s="29" t="s">
        <v>55</v>
      </c>
      <c r="C93" s="216">
        <f t="shared" si="2"/>
        <v>4607572</v>
      </c>
      <c r="D93" s="216">
        <f>D94+D97+D99+D102+D106</f>
        <v>4298200</v>
      </c>
      <c r="E93" s="216">
        <f>E94+E97+E99+E102+E106</f>
        <v>263861</v>
      </c>
      <c r="F93" s="216">
        <f>F94+F97+F99+F102+F106</f>
        <v>15238</v>
      </c>
      <c r="G93" s="213">
        <f>G94+G97+G99+G102+G106</f>
        <v>19764</v>
      </c>
      <c r="H93" s="213">
        <f>H94+H97+H99+H102+H106</f>
        <v>10509</v>
      </c>
    </row>
    <row r="94" spans="1:8" x14ac:dyDescent="0.25">
      <c r="A94" s="69" t="s">
        <v>56</v>
      </c>
      <c r="B94" s="32" t="s">
        <v>291</v>
      </c>
      <c r="C94" s="216">
        <f>SUM(D94+E94+F94+G94+H94)</f>
        <v>749943</v>
      </c>
      <c r="D94" s="216">
        <f>D95+D96</f>
        <v>719367</v>
      </c>
      <c r="E94" s="216">
        <f t="shared" ref="E94:H94" si="15">E95+E96</f>
        <v>6021</v>
      </c>
      <c r="F94" s="216">
        <f t="shared" si="15"/>
        <v>0</v>
      </c>
      <c r="G94" s="216">
        <f t="shared" si="15"/>
        <v>19764</v>
      </c>
      <c r="H94" s="216">
        <f t="shared" si="15"/>
        <v>4791</v>
      </c>
    </row>
    <row r="95" spans="1:8" ht="19.5" customHeight="1" x14ac:dyDescent="0.25">
      <c r="A95" s="68" t="s">
        <v>286</v>
      </c>
      <c r="B95" s="85" t="s">
        <v>372</v>
      </c>
      <c r="C95" s="229">
        <f t="shared" si="2"/>
        <v>736890</v>
      </c>
      <c r="D95" s="215">
        <v>715016</v>
      </c>
      <c r="E95" s="215">
        <v>1670</v>
      </c>
      <c r="F95" s="215">
        <v>0</v>
      </c>
      <c r="G95" s="215">
        <v>19764</v>
      </c>
      <c r="H95" s="215">
        <v>440</v>
      </c>
    </row>
    <row r="96" spans="1:8" ht="30" x14ac:dyDescent="0.25">
      <c r="A96" s="70" t="s">
        <v>775</v>
      </c>
      <c r="B96" s="86" t="s">
        <v>776</v>
      </c>
      <c r="C96" s="229">
        <f>SUM(D96+E96+F96+G96+H96)</f>
        <v>13053</v>
      </c>
      <c r="D96" s="215">
        <v>4351</v>
      </c>
      <c r="E96" s="215">
        <v>4351</v>
      </c>
      <c r="F96" s="215">
        <v>0</v>
      </c>
      <c r="G96" s="215">
        <v>0</v>
      </c>
      <c r="H96" s="215">
        <v>4351</v>
      </c>
    </row>
    <row r="97" spans="1:8" x14ac:dyDescent="0.25">
      <c r="A97" s="54" t="s">
        <v>57</v>
      </c>
      <c r="B97" s="32" t="s">
        <v>255</v>
      </c>
      <c r="C97" s="216">
        <f>SUM(D97+E97+F97+G97+H97)</f>
        <v>592997</v>
      </c>
      <c r="D97" s="216">
        <f>D98</f>
        <v>577780</v>
      </c>
      <c r="E97" s="216">
        <f>E98</f>
        <v>9500</v>
      </c>
      <c r="F97" s="216">
        <f>F98</f>
        <v>0</v>
      </c>
      <c r="G97" s="216">
        <f>G98</f>
        <v>0</v>
      </c>
      <c r="H97" s="216">
        <f>H98</f>
        <v>5717</v>
      </c>
    </row>
    <row r="98" spans="1:8" s="106" customFormat="1" ht="30" x14ac:dyDescent="0.25">
      <c r="A98" s="70" t="s">
        <v>93</v>
      </c>
      <c r="B98" s="86" t="s">
        <v>373</v>
      </c>
      <c r="C98" s="229">
        <f>SUM(D98+E98+F98+G98+H98)</f>
        <v>592997</v>
      </c>
      <c r="D98" s="215">
        <v>577780</v>
      </c>
      <c r="E98" s="215">
        <v>9500</v>
      </c>
      <c r="F98" s="215">
        <v>0</v>
      </c>
      <c r="G98" s="215">
        <v>0</v>
      </c>
      <c r="H98" s="215">
        <v>5717</v>
      </c>
    </row>
    <row r="99" spans="1:8" x14ac:dyDescent="0.25">
      <c r="A99" s="69" t="s">
        <v>58</v>
      </c>
      <c r="B99" s="29" t="s">
        <v>365</v>
      </c>
      <c r="C99" s="216">
        <f t="shared" si="2"/>
        <v>1958502</v>
      </c>
      <c r="D99" s="216">
        <f>SUM(D100:D101)</f>
        <v>1710161</v>
      </c>
      <c r="E99" s="216">
        <f>SUM(E100:E101)</f>
        <v>248340</v>
      </c>
      <c r="F99" s="216">
        <f>SUM(F100:F101)</f>
        <v>0</v>
      </c>
      <c r="G99" s="213">
        <f>SUM(G100:G101)</f>
        <v>0</v>
      </c>
      <c r="H99" s="213">
        <f>SUM(H100:H101)</f>
        <v>1</v>
      </c>
    </row>
    <row r="100" spans="1:8" x14ac:dyDescent="0.25">
      <c r="A100" s="70" t="s">
        <v>189</v>
      </c>
      <c r="B100" s="86" t="s">
        <v>374</v>
      </c>
      <c r="C100" s="229">
        <f t="shared" si="2"/>
        <v>1437473</v>
      </c>
      <c r="D100" s="215">
        <v>1321132</v>
      </c>
      <c r="E100" s="215">
        <v>116340</v>
      </c>
      <c r="F100" s="215">
        <v>0</v>
      </c>
      <c r="G100" s="215">
        <v>0</v>
      </c>
      <c r="H100" s="215">
        <v>1</v>
      </c>
    </row>
    <row r="101" spans="1:8" x14ac:dyDescent="0.25">
      <c r="A101" s="68" t="s">
        <v>190</v>
      </c>
      <c r="B101" s="85" t="s">
        <v>385</v>
      </c>
      <c r="C101" s="229">
        <f t="shared" si="2"/>
        <v>521029</v>
      </c>
      <c r="D101" s="215">
        <v>389029</v>
      </c>
      <c r="E101" s="215">
        <v>132000</v>
      </c>
      <c r="F101" s="215">
        <v>0</v>
      </c>
      <c r="G101" s="215">
        <v>0</v>
      </c>
      <c r="H101" s="215">
        <v>0</v>
      </c>
    </row>
    <row r="102" spans="1:8" x14ac:dyDescent="0.25">
      <c r="A102" s="69" t="s">
        <v>59</v>
      </c>
      <c r="B102" s="29" t="s">
        <v>98</v>
      </c>
      <c r="C102" s="216">
        <f t="shared" si="2"/>
        <v>190622</v>
      </c>
      <c r="D102" s="216">
        <f>SUM(D103:D105)</f>
        <v>190622</v>
      </c>
      <c r="E102" s="216">
        <f>SUM(E103:E105)</f>
        <v>0</v>
      </c>
      <c r="F102" s="216">
        <f>SUM(F103:F105)</f>
        <v>0</v>
      </c>
      <c r="G102" s="213">
        <f>SUM(G103:G105)</f>
        <v>0</v>
      </c>
      <c r="H102" s="213">
        <f>SUM(H103:H105)</f>
        <v>0</v>
      </c>
    </row>
    <row r="103" spans="1:8" x14ac:dyDescent="0.25">
      <c r="A103" s="68" t="s">
        <v>182</v>
      </c>
      <c r="B103" s="85" t="s">
        <v>292</v>
      </c>
      <c r="C103" s="229">
        <f t="shared" si="2"/>
        <v>92715</v>
      </c>
      <c r="D103" s="215">
        <v>92715</v>
      </c>
      <c r="E103" s="215">
        <v>0</v>
      </c>
      <c r="F103" s="215">
        <v>0</v>
      </c>
      <c r="G103" s="215">
        <v>0</v>
      </c>
      <c r="H103" s="214">
        <v>0</v>
      </c>
    </row>
    <row r="104" spans="1:8" x14ac:dyDescent="0.25">
      <c r="A104" s="68" t="s">
        <v>246</v>
      </c>
      <c r="B104" s="85" t="s">
        <v>293</v>
      </c>
      <c r="C104" s="229">
        <f t="shared" si="2"/>
        <v>79974</v>
      </c>
      <c r="D104" s="215">
        <v>79974</v>
      </c>
      <c r="E104" s="215">
        <v>0</v>
      </c>
      <c r="F104" s="215">
        <v>0</v>
      </c>
      <c r="G104" s="215">
        <v>0</v>
      </c>
      <c r="H104" s="214">
        <v>0</v>
      </c>
    </row>
    <row r="105" spans="1:8" ht="16.5" customHeight="1" x14ac:dyDescent="0.25">
      <c r="A105" s="68" t="s">
        <v>185</v>
      </c>
      <c r="B105" s="85" t="s">
        <v>186</v>
      </c>
      <c r="C105" s="229">
        <f>SUM(D105+E105+F105+G105+H105)</f>
        <v>17933</v>
      </c>
      <c r="D105" s="215">
        <v>17933</v>
      </c>
      <c r="E105" s="215">
        <v>0</v>
      </c>
      <c r="F105" s="215">
        <v>0</v>
      </c>
      <c r="G105" s="215">
        <v>0</v>
      </c>
      <c r="H105" s="215">
        <v>0</v>
      </c>
    </row>
    <row r="106" spans="1:8" x14ac:dyDescent="0.25">
      <c r="A106" s="69" t="s">
        <v>60</v>
      </c>
      <c r="B106" s="29" t="s">
        <v>133</v>
      </c>
      <c r="C106" s="216">
        <f t="shared" ref="C106:C185" si="16">SUM(D106+E106+F106+G106+H106)</f>
        <v>1115508</v>
      </c>
      <c r="D106" s="216">
        <f>SUM(D107:D108)</f>
        <v>1100270</v>
      </c>
      <c r="E106" s="216">
        <f>SUM(E107:E108)</f>
        <v>0</v>
      </c>
      <c r="F106" s="216">
        <f>SUM(F107:F108)</f>
        <v>15238</v>
      </c>
      <c r="G106" s="213">
        <f>SUM(G107:G108)</f>
        <v>0</v>
      </c>
      <c r="H106" s="213">
        <f>SUM(H107:H108)</f>
        <v>0</v>
      </c>
    </row>
    <row r="107" spans="1:8" s="106" customFormat="1" ht="16.5" customHeight="1" x14ac:dyDescent="0.25">
      <c r="A107" s="68" t="s">
        <v>81</v>
      </c>
      <c r="B107" s="85" t="s">
        <v>297</v>
      </c>
      <c r="C107" s="229">
        <f t="shared" si="16"/>
        <v>560187</v>
      </c>
      <c r="D107" s="215">
        <v>544949</v>
      </c>
      <c r="E107" s="215">
        <v>0</v>
      </c>
      <c r="F107" s="215">
        <v>15238</v>
      </c>
      <c r="G107" s="215">
        <v>0</v>
      </c>
      <c r="H107" s="215">
        <v>0</v>
      </c>
    </row>
    <row r="108" spans="1:8" s="106" customFormat="1" x14ac:dyDescent="0.25">
      <c r="A108" s="68" t="s">
        <v>82</v>
      </c>
      <c r="B108" s="85" t="s">
        <v>132</v>
      </c>
      <c r="C108" s="229">
        <f t="shared" si="16"/>
        <v>555321</v>
      </c>
      <c r="D108" s="215">
        <v>555321</v>
      </c>
      <c r="E108" s="215">
        <v>0</v>
      </c>
      <c r="F108" s="215">
        <v>0</v>
      </c>
      <c r="G108" s="215">
        <v>0</v>
      </c>
      <c r="H108" s="215">
        <v>0</v>
      </c>
    </row>
    <row r="109" spans="1:8" ht="28.5" x14ac:dyDescent="0.25">
      <c r="A109" s="69" t="s">
        <v>61</v>
      </c>
      <c r="B109" s="29" t="s">
        <v>194</v>
      </c>
      <c r="C109" s="216">
        <f t="shared" si="16"/>
        <v>232056</v>
      </c>
      <c r="D109" s="216">
        <f>SUM(D110:D113)</f>
        <v>232056</v>
      </c>
      <c r="E109" s="216">
        <f>SUM(E110:E113)</f>
        <v>0</v>
      </c>
      <c r="F109" s="216">
        <f>SUM(F110:F113)</f>
        <v>0</v>
      </c>
      <c r="G109" s="213">
        <f>SUM(G110:G113)</f>
        <v>0</v>
      </c>
      <c r="H109" s="213">
        <f>SUM(H110:H113)</f>
        <v>0</v>
      </c>
    </row>
    <row r="110" spans="1:8" x14ac:dyDescent="0.25">
      <c r="A110" s="68" t="s">
        <v>187</v>
      </c>
      <c r="B110" s="85" t="s">
        <v>239</v>
      </c>
      <c r="C110" s="229">
        <f t="shared" si="16"/>
        <v>101000</v>
      </c>
      <c r="D110" s="215">
        <f>100000+1000</f>
        <v>101000</v>
      </c>
      <c r="E110" s="215">
        <v>0</v>
      </c>
      <c r="F110" s="215">
        <v>0</v>
      </c>
      <c r="G110" s="215">
        <v>0</v>
      </c>
      <c r="H110" s="215">
        <v>0</v>
      </c>
    </row>
    <row r="111" spans="1:8" x14ac:dyDescent="0.25">
      <c r="A111" s="68" t="s">
        <v>188</v>
      </c>
      <c r="B111" s="85" t="s">
        <v>192</v>
      </c>
      <c r="C111" s="229">
        <f t="shared" si="16"/>
        <v>32044</v>
      </c>
      <c r="D111" s="215">
        <v>32044</v>
      </c>
      <c r="E111" s="215">
        <v>0</v>
      </c>
      <c r="F111" s="215">
        <v>0</v>
      </c>
      <c r="G111" s="215">
        <v>0</v>
      </c>
      <c r="H111" s="215">
        <v>0</v>
      </c>
    </row>
    <row r="112" spans="1:8" ht="19.5" customHeight="1" x14ac:dyDescent="0.25">
      <c r="A112" s="68" t="s">
        <v>191</v>
      </c>
      <c r="B112" s="85" t="s">
        <v>589</v>
      </c>
      <c r="C112" s="229">
        <f t="shared" si="16"/>
        <v>4300</v>
      </c>
      <c r="D112" s="215">
        <v>4300</v>
      </c>
      <c r="E112" s="215">
        <v>0</v>
      </c>
      <c r="F112" s="215">
        <v>0</v>
      </c>
      <c r="G112" s="215">
        <v>0</v>
      </c>
      <c r="H112" s="215">
        <v>0</v>
      </c>
    </row>
    <row r="113" spans="1:8" x14ac:dyDescent="0.25">
      <c r="A113" s="70" t="s">
        <v>193</v>
      </c>
      <c r="B113" s="86" t="s">
        <v>603</v>
      </c>
      <c r="C113" s="229">
        <f t="shared" si="16"/>
        <v>94712</v>
      </c>
      <c r="D113" s="232">
        <v>94712</v>
      </c>
      <c r="E113" s="215">
        <v>0</v>
      </c>
      <c r="F113" s="215">
        <v>0</v>
      </c>
      <c r="G113" s="215">
        <v>0</v>
      </c>
      <c r="H113" s="215">
        <v>0</v>
      </c>
    </row>
    <row r="114" spans="1:8" s="87" customFormat="1" x14ac:dyDescent="0.25">
      <c r="A114" s="26" t="s">
        <v>35</v>
      </c>
      <c r="B114" s="27" t="s">
        <v>15</v>
      </c>
      <c r="C114" s="235">
        <f t="shared" si="16"/>
        <v>36408060</v>
      </c>
      <c r="D114" s="235">
        <f>SUM(D115+D118+D129+D138+D135+D143+D147)</f>
        <v>23610557</v>
      </c>
      <c r="E114" s="235">
        <f>SUM(E115+E118+E129+E138+E135+E143+E147)</f>
        <v>587848</v>
      </c>
      <c r="F114" s="235">
        <f>SUM(F115+F118+F129+F138+F135+F143+F147)</f>
        <v>10934679</v>
      </c>
      <c r="G114" s="235">
        <f>SUM(G115+G118+G129+G138+G135+G143+G147)</f>
        <v>0</v>
      </c>
      <c r="H114" s="235">
        <f>SUM(H115+H118+H129+H138+H135+H143+H147)</f>
        <v>1274976</v>
      </c>
    </row>
    <row r="115" spans="1:8" x14ac:dyDescent="0.25">
      <c r="A115" s="54" t="s">
        <v>96</v>
      </c>
      <c r="B115" s="32" t="s">
        <v>569</v>
      </c>
      <c r="C115" s="216">
        <f t="shared" si="16"/>
        <v>10248351</v>
      </c>
      <c r="D115" s="216">
        <f>SUM(D116:D117)</f>
        <v>9379694</v>
      </c>
      <c r="E115" s="216">
        <f>SUM(E116:E117)</f>
        <v>83444</v>
      </c>
      <c r="F115" s="216">
        <f>SUM(F116:F117)</f>
        <v>754760</v>
      </c>
      <c r="G115" s="216">
        <f>SUM(G116:G117)</f>
        <v>0</v>
      </c>
      <c r="H115" s="213">
        <f>SUM(H116:H117)</f>
        <v>30453</v>
      </c>
    </row>
    <row r="116" spans="1:8" s="106" customFormat="1" ht="30" x14ac:dyDescent="0.25">
      <c r="A116" s="70" t="s">
        <v>168</v>
      </c>
      <c r="B116" s="86" t="s">
        <v>764</v>
      </c>
      <c r="C116" s="229">
        <f t="shared" si="16"/>
        <v>8981703</v>
      </c>
      <c r="D116" s="215">
        <v>8113046</v>
      </c>
      <c r="E116" s="215">
        <v>83444</v>
      </c>
      <c r="F116" s="215">
        <v>754760</v>
      </c>
      <c r="G116" s="215">
        <v>0</v>
      </c>
      <c r="H116" s="215">
        <f>16082+14371</f>
        <v>30453</v>
      </c>
    </row>
    <row r="117" spans="1:8" s="106" customFormat="1" ht="30" x14ac:dyDescent="0.25">
      <c r="A117" s="70" t="s">
        <v>645</v>
      </c>
      <c r="B117" s="86" t="s">
        <v>646</v>
      </c>
      <c r="C117" s="229">
        <f>SUM(D117+E117+F117+G117+H117)</f>
        <v>1266648</v>
      </c>
      <c r="D117" s="215">
        <f>471648+795000</f>
        <v>1266648</v>
      </c>
      <c r="E117" s="215">
        <v>0</v>
      </c>
      <c r="F117" s="215">
        <v>0</v>
      </c>
      <c r="G117" s="215">
        <v>0</v>
      </c>
      <c r="H117" s="215">
        <v>0</v>
      </c>
    </row>
    <row r="118" spans="1:8" x14ac:dyDescent="0.25">
      <c r="A118" s="54" t="s">
        <v>99</v>
      </c>
      <c r="B118" s="32" t="s">
        <v>100</v>
      </c>
      <c r="C118" s="216">
        <f t="shared" si="16"/>
        <v>19394523</v>
      </c>
      <c r="D118" s="216">
        <f>SUM(D119+D126)</f>
        <v>9626472</v>
      </c>
      <c r="E118" s="216">
        <f>SUM(E119+E126)</f>
        <v>180490</v>
      </c>
      <c r="F118" s="216">
        <f>SUM(F119+F126)</f>
        <v>8782021</v>
      </c>
      <c r="G118" s="216">
        <f>SUM(G119+G126)</f>
        <v>0</v>
      </c>
      <c r="H118" s="213">
        <f>SUM(H119+H126)</f>
        <v>805540</v>
      </c>
    </row>
    <row r="119" spans="1:8" x14ac:dyDescent="0.25">
      <c r="A119" s="54" t="s">
        <v>183</v>
      </c>
      <c r="B119" s="32" t="s">
        <v>570</v>
      </c>
      <c r="C119" s="216">
        <f>SUM(D119+E119+F119+G119+H119)</f>
        <v>18006389</v>
      </c>
      <c r="D119" s="216">
        <f>SUM(D120:D125)</f>
        <v>9152709</v>
      </c>
      <c r="E119" s="216">
        <f>SUM(E120:E125)</f>
        <v>137546</v>
      </c>
      <c r="F119" s="216">
        <f>SUM(F120:F125)</f>
        <v>8208319</v>
      </c>
      <c r="G119" s="216">
        <f>SUM(G120:G125)</f>
        <v>0</v>
      </c>
      <c r="H119" s="216">
        <f>SUM(H120:H125)</f>
        <v>507815</v>
      </c>
    </row>
    <row r="120" spans="1:8" ht="22.5" customHeight="1" x14ac:dyDescent="0.25">
      <c r="A120" s="70" t="s">
        <v>256</v>
      </c>
      <c r="B120" s="86" t="s">
        <v>375</v>
      </c>
      <c r="C120" s="229">
        <f t="shared" ref="C120:C125" si="17">SUM(D120+E120+F120+G120+H120)</f>
        <v>11433287</v>
      </c>
      <c r="D120" s="215">
        <v>4955014</v>
      </c>
      <c r="E120" s="215">
        <v>95904</v>
      </c>
      <c r="F120" s="215">
        <v>6285021</v>
      </c>
      <c r="G120" s="215">
        <v>0</v>
      </c>
      <c r="H120" s="214">
        <f>24071+73277</f>
        <v>97348</v>
      </c>
    </row>
    <row r="121" spans="1:8" ht="30" x14ac:dyDescent="0.25">
      <c r="A121" s="70" t="s">
        <v>257</v>
      </c>
      <c r="B121" s="86" t="s">
        <v>765</v>
      </c>
      <c r="C121" s="229">
        <f t="shared" si="17"/>
        <v>1642312</v>
      </c>
      <c r="D121" s="215">
        <v>396409</v>
      </c>
      <c r="E121" s="215">
        <v>41642</v>
      </c>
      <c r="F121" s="215">
        <v>1137581</v>
      </c>
      <c r="G121" s="215">
        <v>0</v>
      </c>
      <c r="H121" s="214">
        <f>23769+42911</f>
        <v>66680</v>
      </c>
    </row>
    <row r="122" spans="1:8" x14ac:dyDescent="0.25">
      <c r="A122" s="70" t="s">
        <v>249</v>
      </c>
      <c r="B122" s="86" t="s">
        <v>266</v>
      </c>
      <c r="C122" s="229">
        <f t="shared" si="17"/>
        <v>414749</v>
      </c>
      <c r="D122" s="215">
        <v>11886</v>
      </c>
      <c r="E122" s="215">
        <v>0</v>
      </c>
      <c r="F122" s="215">
        <v>73433</v>
      </c>
      <c r="G122" s="215">
        <v>0</v>
      </c>
      <c r="H122" s="214">
        <v>329430</v>
      </c>
    </row>
    <row r="123" spans="1:8" s="106" customFormat="1" ht="30" x14ac:dyDescent="0.25">
      <c r="A123" s="70" t="s">
        <v>364</v>
      </c>
      <c r="B123" s="86" t="s">
        <v>476</v>
      </c>
      <c r="C123" s="229">
        <f t="shared" si="17"/>
        <v>2237801</v>
      </c>
      <c r="D123" s="215">
        <v>2226744</v>
      </c>
      <c r="E123" s="215">
        <v>0</v>
      </c>
      <c r="F123" s="215">
        <v>0</v>
      </c>
      <c r="G123" s="215">
        <v>0</v>
      </c>
      <c r="H123" s="215">
        <v>11057</v>
      </c>
    </row>
    <row r="124" spans="1:8" s="106" customFormat="1" ht="60" x14ac:dyDescent="0.25">
      <c r="A124" s="66" t="s">
        <v>517</v>
      </c>
      <c r="B124" s="86" t="s">
        <v>590</v>
      </c>
      <c r="C124" s="229">
        <f t="shared" si="17"/>
        <v>220534</v>
      </c>
      <c r="D124" s="215">
        <v>0</v>
      </c>
      <c r="E124" s="215">
        <v>0</v>
      </c>
      <c r="F124" s="215">
        <v>217234</v>
      </c>
      <c r="G124" s="215">
        <v>0</v>
      </c>
      <c r="H124" s="215">
        <v>3300</v>
      </c>
    </row>
    <row r="125" spans="1:8" s="106" customFormat="1" ht="45" x14ac:dyDescent="0.25">
      <c r="A125" s="66" t="s">
        <v>647</v>
      </c>
      <c r="B125" s="86" t="s">
        <v>648</v>
      </c>
      <c r="C125" s="229">
        <f t="shared" si="17"/>
        <v>2057706</v>
      </c>
      <c r="D125" s="215">
        <v>1562656</v>
      </c>
      <c r="E125" s="215">
        <v>0</v>
      </c>
      <c r="F125" s="215">
        <v>495050</v>
      </c>
      <c r="G125" s="215">
        <v>0</v>
      </c>
      <c r="H125" s="215">
        <v>0</v>
      </c>
    </row>
    <row r="126" spans="1:8" x14ac:dyDescent="0.25">
      <c r="A126" s="54" t="s">
        <v>169</v>
      </c>
      <c r="B126" s="32" t="s">
        <v>170</v>
      </c>
      <c r="C126" s="216">
        <f>SUM(D126:H126)</f>
        <v>1388134</v>
      </c>
      <c r="D126" s="216">
        <f>SUM(D127:D128)</f>
        <v>473763</v>
      </c>
      <c r="E126" s="216">
        <f>SUM(E127:E128)</f>
        <v>42944</v>
      </c>
      <c r="F126" s="216">
        <f>SUM(F127:F128)</f>
        <v>573702</v>
      </c>
      <c r="G126" s="216">
        <f>SUM(G127:G128)</f>
        <v>0</v>
      </c>
      <c r="H126" s="216">
        <f>SUM(H127:H128)</f>
        <v>297725</v>
      </c>
    </row>
    <row r="127" spans="1:8" s="109" customFormat="1" x14ac:dyDescent="0.25">
      <c r="A127" s="70" t="s">
        <v>258</v>
      </c>
      <c r="B127" s="86" t="s">
        <v>376</v>
      </c>
      <c r="C127" s="229">
        <f t="shared" si="16"/>
        <v>951537</v>
      </c>
      <c r="D127" s="215">
        <v>447472</v>
      </c>
      <c r="E127" s="215">
        <v>24906</v>
      </c>
      <c r="F127" s="215">
        <v>476836</v>
      </c>
      <c r="G127" s="215">
        <v>0</v>
      </c>
      <c r="H127" s="215">
        <f>1630+693</f>
        <v>2323</v>
      </c>
    </row>
    <row r="128" spans="1:8" s="109" customFormat="1" x14ac:dyDescent="0.25">
      <c r="A128" s="70" t="s">
        <v>259</v>
      </c>
      <c r="B128" s="86" t="s">
        <v>766</v>
      </c>
      <c r="C128" s="229">
        <f t="shared" si="16"/>
        <v>436597</v>
      </c>
      <c r="D128" s="215">
        <v>26291</v>
      </c>
      <c r="E128" s="215">
        <v>18038</v>
      </c>
      <c r="F128" s="215">
        <v>96866</v>
      </c>
      <c r="G128" s="215">
        <v>0</v>
      </c>
      <c r="H128" s="215">
        <v>295402</v>
      </c>
    </row>
    <row r="129" spans="1:8" x14ac:dyDescent="0.25">
      <c r="A129" s="54" t="s">
        <v>83</v>
      </c>
      <c r="B129" s="32" t="s">
        <v>101</v>
      </c>
      <c r="C129" s="216">
        <f>SUM(D129+E129+F129+G129+H129)</f>
        <v>4000284</v>
      </c>
      <c r="D129" s="216">
        <f>SUM(D130:D134)</f>
        <v>2750022</v>
      </c>
      <c r="E129" s="216">
        <f>SUM(E130:E134)</f>
        <v>163370</v>
      </c>
      <c r="F129" s="216">
        <f>SUM(F130:F134)</f>
        <v>1045405</v>
      </c>
      <c r="G129" s="216">
        <f>SUM(G130:G134)</f>
        <v>0</v>
      </c>
      <c r="H129" s="216">
        <f>SUM(H130:H134)</f>
        <v>41487</v>
      </c>
    </row>
    <row r="130" spans="1:8" s="106" customFormat="1" ht="33.75" customHeight="1" x14ac:dyDescent="0.25">
      <c r="A130" s="70" t="s">
        <v>85</v>
      </c>
      <c r="B130" s="86" t="s">
        <v>767</v>
      </c>
      <c r="C130" s="229">
        <f t="shared" si="16"/>
        <v>963831</v>
      </c>
      <c r="D130" s="215">
        <v>494607</v>
      </c>
      <c r="E130" s="215">
        <v>44069</v>
      </c>
      <c r="F130" s="215">
        <v>416446</v>
      </c>
      <c r="G130" s="215">
        <v>0</v>
      </c>
      <c r="H130" s="215">
        <f>4021+4688</f>
        <v>8709</v>
      </c>
    </row>
    <row r="131" spans="1:8" s="106" customFormat="1" ht="20.25" customHeight="1" x14ac:dyDescent="0.25">
      <c r="A131" s="70" t="s">
        <v>86</v>
      </c>
      <c r="B131" s="86" t="s">
        <v>377</v>
      </c>
      <c r="C131" s="229">
        <f t="shared" ref="C131:C137" si="18">SUM(D131+E131+F131+G131+H131)</f>
        <v>247941</v>
      </c>
      <c r="D131" s="215">
        <v>120259</v>
      </c>
      <c r="E131" s="215">
        <v>12395</v>
      </c>
      <c r="F131" s="215">
        <v>112730</v>
      </c>
      <c r="G131" s="215">
        <v>0</v>
      </c>
      <c r="H131" s="215">
        <f>2549+8</f>
        <v>2557</v>
      </c>
    </row>
    <row r="132" spans="1:8" s="106" customFormat="1" x14ac:dyDescent="0.25">
      <c r="A132" s="70" t="s">
        <v>102</v>
      </c>
      <c r="B132" s="86" t="s">
        <v>378</v>
      </c>
      <c r="C132" s="229">
        <f t="shared" si="18"/>
        <v>2325656</v>
      </c>
      <c r="D132" s="215">
        <f>701941+364778+621437</f>
        <v>1688156</v>
      </c>
      <c r="E132" s="215">
        <f>22400+10000+74506</f>
        <v>106906</v>
      </c>
      <c r="F132" s="215">
        <f>300941+72792+142496</f>
        <v>516229</v>
      </c>
      <c r="G132" s="215">
        <v>0</v>
      </c>
      <c r="H132" s="214">
        <f>8+639+28+11454+866+1370</f>
        <v>14365</v>
      </c>
    </row>
    <row r="133" spans="1:8" s="106" customFormat="1" hidden="1" x14ac:dyDescent="0.25">
      <c r="A133" s="210" t="s">
        <v>250</v>
      </c>
      <c r="B133" s="211" t="s">
        <v>768</v>
      </c>
      <c r="C133" s="238">
        <f t="shared" si="18"/>
        <v>0</v>
      </c>
      <c r="D133" s="239"/>
      <c r="E133" s="239"/>
      <c r="F133" s="239"/>
      <c r="G133" s="239"/>
      <c r="H133" s="239"/>
    </row>
    <row r="134" spans="1:8" s="106" customFormat="1" ht="48" customHeight="1" x14ac:dyDescent="0.25">
      <c r="A134" s="70" t="s">
        <v>649</v>
      </c>
      <c r="B134" s="86" t="s">
        <v>650</v>
      </c>
      <c r="C134" s="229">
        <f t="shared" si="18"/>
        <v>462856</v>
      </c>
      <c r="D134" s="215">
        <f>150000+297000</f>
        <v>447000</v>
      </c>
      <c r="E134" s="215">
        <v>0</v>
      </c>
      <c r="F134" s="215">
        <v>0</v>
      </c>
      <c r="G134" s="215">
        <v>0</v>
      </c>
      <c r="H134" s="215">
        <v>15856</v>
      </c>
    </row>
    <row r="135" spans="1:8" s="106" customFormat="1" ht="42.75" x14ac:dyDescent="0.25">
      <c r="A135" s="54" t="s">
        <v>175</v>
      </c>
      <c r="B135" s="32" t="s">
        <v>571</v>
      </c>
      <c r="C135" s="216">
        <f t="shared" si="18"/>
        <v>8600</v>
      </c>
      <c r="D135" s="216">
        <f>SUM(D136:D137)</f>
        <v>8600</v>
      </c>
      <c r="E135" s="216">
        <f>SUM(E136:E137)</f>
        <v>0</v>
      </c>
      <c r="F135" s="216">
        <f>SUM(F136:F137)</f>
        <v>0</v>
      </c>
      <c r="G135" s="216">
        <f>SUM(G136:G137)</f>
        <v>0</v>
      </c>
      <c r="H135" s="213">
        <f>SUM(H136:H137)</f>
        <v>0</v>
      </c>
    </row>
    <row r="136" spans="1:8" s="106" customFormat="1" ht="16.5" customHeight="1" x14ac:dyDescent="0.25">
      <c r="A136" s="70" t="s">
        <v>195</v>
      </c>
      <c r="B136" s="86" t="s">
        <v>591</v>
      </c>
      <c r="C136" s="229">
        <f t="shared" si="18"/>
        <v>6000</v>
      </c>
      <c r="D136" s="215">
        <v>6000</v>
      </c>
      <c r="E136" s="215">
        <v>0</v>
      </c>
      <c r="F136" s="215">
        <v>0</v>
      </c>
      <c r="G136" s="215">
        <v>0</v>
      </c>
      <c r="H136" s="215">
        <v>0</v>
      </c>
    </row>
    <row r="137" spans="1:8" s="106" customFormat="1" x14ac:dyDescent="0.25">
      <c r="A137" s="70" t="s">
        <v>196</v>
      </c>
      <c r="B137" s="86" t="s">
        <v>592</v>
      </c>
      <c r="C137" s="229">
        <f t="shared" si="18"/>
        <v>2600</v>
      </c>
      <c r="D137" s="215">
        <v>2600</v>
      </c>
      <c r="E137" s="215">
        <v>0</v>
      </c>
      <c r="F137" s="215">
        <v>0</v>
      </c>
      <c r="G137" s="215">
        <v>0</v>
      </c>
      <c r="H137" s="215">
        <v>0</v>
      </c>
    </row>
    <row r="138" spans="1:8" s="106" customFormat="1" x14ac:dyDescent="0.25">
      <c r="A138" s="54" t="s">
        <v>171</v>
      </c>
      <c r="B138" s="32" t="s">
        <v>172</v>
      </c>
      <c r="C138" s="216">
        <f t="shared" ref="C138:C142" si="19">SUM(D138+E138+F138+G138+H138)</f>
        <v>1377870</v>
      </c>
      <c r="D138" s="216">
        <f>D139+D140+D141+D142</f>
        <v>940458</v>
      </c>
      <c r="E138" s="216">
        <f>E139+E140+E141+E142</f>
        <v>160081</v>
      </c>
      <c r="F138" s="216">
        <f>F139+F140+F141+F142</f>
        <v>105076</v>
      </c>
      <c r="G138" s="216">
        <f>G139+G140+G141+G142</f>
        <v>0</v>
      </c>
      <c r="H138" s="216">
        <f>H139+H140+H141+H142</f>
        <v>172255</v>
      </c>
    </row>
    <row r="139" spans="1:8" s="106" customFormat="1" ht="30" x14ac:dyDescent="0.25">
      <c r="A139" s="70" t="s">
        <v>173</v>
      </c>
      <c r="B139" s="86" t="s">
        <v>379</v>
      </c>
      <c r="C139" s="229">
        <f t="shared" si="19"/>
        <v>1156291</v>
      </c>
      <c r="D139" s="215">
        <v>932458</v>
      </c>
      <c r="E139" s="215">
        <v>159681</v>
      </c>
      <c r="F139" s="215">
        <v>0</v>
      </c>
      <c r="G139" s="215">
        <v>0</v>
      </c>
      <c r="H139" s="215">
        <v>64152</v>
      </c>
    </row>
    <row r="140" spans="1:8" s="106" customFormat="1" ht="30" x14ac:dyDescent="0.25">
      <c r="A140" s="70" t="s">
        <v>174</v>
      </c>
      <c r="B140" s="86" t="s">
        <v>380</v>
      </c>
      <c r="C140" s="229">
        <f t="shared" si="19"/>
        <v>156709</v>
      </c>
      <c r="D140" s="215">
        <v>0</v>
      </c>
      <c r="E140" s="215">
        <v>400</v>
      </c>
      <c r="F140" s="215">
        <v>59565</v>
      </c>
      <c r="G140" s="215">
        <v>0</v>
      </c>
      <c r="H140" s="215">
        <v>96744</v>
      </c>
    </row>
    <row r="141" spans="1:8" s="106" customFormat="1" x14ac:dyDescent="0.25">
      <c r="A141" s="70" t="s">
        <v>343</v>
      </c>
      <c r="B141" s="86" t="s">
        <v>520</v>
      </c>
      <c r="C141" s="229">
        <f t="shared" si="19"/>
        <v>64370</v>
      </c>
      <c r="D141" s="215">
        <v>8000</v>
      </c>
      <c r="E141" s="215">
        <v>0</v>
      </c>
      <c r="F141" s="215">
        <v>45011</v>
      </c>
      <c r="G141" s="215">
        <v>0</v>
      </c>
      <c r="H141" s="215">
        <v>11359</v>
      </c>
    </row>
    <row r="142" spans="1:8" s="106" customFormat="1" ht="30" x14ac:dyDescent="0.25">
      <c r="A142" s="70" t="s">
        <v>518</v>
      </c>
      <c r="B142" s="35" t="s">
        <v>519</v>
      </c>
      <c r="C142" s="229">
        <f t="shared" si="19"/>
        <v>500</v>
      </c>
      <c r="D142" s="215">
        <v>0</v>
      </c>
      <c r="E142" s="215">
        <v>0</v>
      </c>
      <c r="F142" s="215">
        <v>500</v>
      </c>
      <c r="G142" s="215">
        <v>0</v>
      </c>
      <c r="H142" s="215">
        <v>0</v>
      </c>
    </row>
    <row r="143" spans="1:8" s="106" customFormat="1" x14ac:dyDescent="0.25">
      <c r="A143" s="54" t="s">
        <v>97</v>
      </c>
      <c r="B143" s="32" t="s">
        <v>147</v>
      </c>
      <c r="C143" s="216">
        <f>SUM(D143+E143+F143+G143+H143)</f>
        <v>1374132</v>
      </c>
      <c r="D143" s="216">
        <f>SUM(D144:D146)</f>
        <v>904881</v>
      </c>
      <c r="E143" s="216">
        <f>SUM(E144:E146)</f>
        <v>463</v>
      </c>
      <c r="F143" s="216">
        <f>SUM(F144:F146)</f>
        <v>247417</v>
      </c>
      <c r="G143" s="216">
        <f>SUM(G144:G146)</f>
        <v>0</v>
      </c>
      <c r="H143" s="213">
        <f>SUM(H144:H146)</f>
        <v>221371</v>
      </c>
    </row>
    <row r="144" spans="1:8" ht="21" customHeight="1" x14ac:dyDescent="0.25">
      <c r="A144" s="70" t="s">
        <v>146</v>
      </c>
      <c r="B144" s="86" t="s">
        <v>381</v>
      </c>
      <c r="C144" s="229">
        <f>SUM(D144+E144+F144+G144+H144)</f>
        <v>820292</v>
      </c>
      <c r="D144" s="215">
        <v>819669</v>
      </c>
      <c r="E144" s="215">
        <v>0</v>
      </c>
      <c r="F144" s="215">
        <v>0</v>
      </c>
      <c r="G144" s="215">
        <v>0</v>
      </c>
      <c r="H144" s="215">
        <v>623</v>
      </c>
    </row>
    <row r="145" spans="1:8" x14ac:dyDescent="0.25">
      <c r="A145" s="70" t="s">
        <v>235</v>
      </c>
      <c r="B145" s="86" t="s">
        <v>382</v>
      </c>
      <c r="C145" s="229">
        <f>SUM(D145+E145+F145+G145+H145)</f>
        <v>467695</v>
      </c>
      <c r="D145" s="215">
        <v>0</v>
      </c>
      <c r="E145" s="215">
        <v>0</v>
      </c>
      <c r="F145" s="215">
        <v>247417</v>
      </c>
      <c r="G145" s="215">
        <v>0</v>
      </c>
      <c r="H145" s="215">
        <v>220278</v>
      </c>
    </row>
    <row r="146" spans="1:8" ht="30" x14ac:dyDescent="0.25">
      <c r="A146" s="70" t="s">
        <v>267</v>
      </c>
      <c r="B146" s="86" t="s">
        <v>383</v>
      </c>
      <c r="C146" s="229">
        <f>SUM(D146+E146+F146+G146+H146)</f>
        <v>86145</v>
      </c>
      <c r="D146" s="215">
        <v>85212</v>
      </c>
      <c r="E146" s="215">
        <v>463</v>
      </c>
      <c r="F146" s="215">
        <v>0</v>
      </c>
      <c r="G146" s="215">
        <v>0</v>
      </c>
      <c r="H146" s="214">
        <v>470</v>
      </c>
    </row>
    <row r="147" spans="1:8" x14ac:dyDescent="0.25">
      <c r="A147" s="32" t="s">
        <v>651</v>
      </c>
      <c r="B147" s="32" t="s">
        <v>652</v>
      </c>
      <c r="C147" s="216">
        <f>SUM(D147+E147+F147+G147+H147)</f>
        <v>4300</v>
      </c>
      <c r="D147" s="216">
        <f>SUM(D148:D148)</f>
        <v>430</v>
      </c>
      <c r="E147" s="216">
        <f>SUM(E148:E148)</f>
        <v>0</v>
      </c>
      <c r="F147" s="216">
        <f>SUM(F148:F148)</f>
        <v>0</v>
      </c>
      <c r="G147" s="216">
        <f>SUM(G148:G148)</f>
        <v>0</v>
      </c>
      <c r="H147" s="216">
        <f>SUM(H148:H148)</f>
        <v>3870</v>
      </c>
    </row>
    <row r="148" spans="1:8" x14ac:dyDescent="0.25">
      <c r="A148" s="70" t="s">
        <v>771</v>
      </c>
      <c r="B148" s="86" t="s">
        <v>772</v>
      </c>
      <c r="C148" s="215">
        <f t="shared" ref="C148" si="20">SUM(D148+E148+F148+G148+H148)</f>
        <v>4300</v>
      </c>
      <c r="D148" s="215">
        <v>430</v>
      </c>
      <c r="E148" s="215">
        <v>0</v>
      </c>
      <c r="F148" s="215">
        <v>0</v>
      </c>
      <c r="G148" s="215">
        <v>0</v>
      </c>
      <c r="H148" s="215">
        <v>3870</v>
      </c>
    </row>
    <row r="149" spans="1:8" s="87" customFormat="1" x14ac:dyDescent="0.25">
      <c r="A149" s="26" t="s">
        <v>36</v>
      </c>
      <c r="B149" s="27" t="s">
        <v>16</v>
      </c>
      <c r="C149" s="235">
        <f t="shared" si="16"/>
        <v>9581053</v>
      </c>
      <c r="D149" s="235">
        <f>SUM(D150+D158+D161+D164+D166+D168+D176)</f>
        <v>6962931</v>
      </c>
      <c r="E149" s="235">
        <f>SUM(E150+E158+E161+E164+E166+E168+E176)</f>
        <v>45048</v>
      </c>
      <c r="F149" s="235">
        <f>SUM(F150+F158+F161+F164+F166+F168+F176)</f>
        <v>2367042</v>
      </c>
      <c r="G149" s="235">
        <f>SUM(G150+G158+G161+G164+G166+G168+G176)</f>
        <v>8396</v>
      </c>
      <c r="H149" s="235">
        <f>SUM(H150+H158+H161+H164+H166+H168+H176)</f>
        <v>197636</v>
      </c>
    </row>
    <row r="150" spans="1:8" x14ac:dyDescent="0.25">
      <c r="A150" s="69" t="s">
        <v>87</v>
      </c>
      <c r="B150" s="29" t="s">
        <v>88</v>
      </c>
      <c r="C150" s="213">
        <f>SUM(D150+E150+F150+G150+H150)</f>
        <v>1401322</v>
      </c>
      <c r="D150" s="213">
        <f>SUM(D151:D157)</f>
        <v>473514</v>
      </c>
      <c r="E150" s="213">
        <f>SUM(E151:E157)</f>
        <v>26402</v>
      </c>
      <c r="F150" s="213">
        <f>SUM(F151:F157)</f>
        <v>852021</v>
      </c>
      <c r="G150" s="213">
        <f>SUM(G151:G157)</f>
        <v>7396</v>
      </c>
      <c r="H150" s="213">
        <f>SUM(H151:H157)</f>
        <v>41989</v>
      </c>
    </row>
    <row r="151" spans="1:8" s="106" customFormat="1" ht="30" x14ac:dyDescent="0.25">
      <c r="A151" s="70" t="s">
        <v>104</v>
      </c>
      <c r="B151" s="86" t="s">
        <v>593</v>
      </c>
      <c r="C151" s="229">
        <f t="shared" si="16"/>
        <v>726041</v>
      </c>
      <c r="D151" s="215">
        <v>177476</v>
      </c>
      <c r="E151" s="215">
        <v>0</v>
      </c>
      <c r="F151" s="214">
        <v>548305</v>
      </c>
      <c r="G151" s="215">
        <v>0</v>
      </c>
      <c r="H151" s="214">
        <v>260</v>
      </c>
    </row>
    <row r="152" spans="1:8" s="106" customFormat="1" x14ac:dyDescent="0.25">
      <c r="A152" s="70" t="s">
        <v>287</v>
      </c>
      <c r="B152" s="86" t="s">
        <v>521</v>
      </c>
      <c r="C152" s="233">
        <f t="shared" si="16"/>
        <v>104842</v>
      </c>
      <c r="D152" s="214">
        <v>87025</v>
      </c>
      <c r="E152" s="214">
        <v>8376</v>
      </c>
      <c r="F152" s="215">
        <v>0</v>
      </c>
      <c r="G152" s="214">
        <v>7396</v>
      </c>
      <c r="H152" s="214">
        <v>2045</v>
      </c>
    </row>
    <row r="153" spans="1:8" s="106" customFormat="1" x14ac:dyDescent="0.25">
      <c r="A153" s="70" t="s">
        <v>105</v>
      </c>
      <c r="B153" s="86" t="s">
        <v>108</v>
      </c>
      <c r="C153" s="233">
        <f t="shared" si="16"/>
        <v>87599</v>
      </c>
      <c r="D153" s="214">
        <v>81166</v>
      </c>
      <c r="E153" s="214">
        <v>6114</v>
      </c>
      <c r="F153" s="215">
        <v>0</v>
      </c>
      <c r="G153" s="215">
        <v>0</v>
      </c>
      <c r="H153" s="214">
        <v>319</v>
      </c>
    </row>
    <row r="154" spans="1:8" s="106" customFormat="1" x14ac:dyDescent="0.25">
      <c r="A154" s="70" t="s">
        <v>106</v>
      </c>
      <c r="B154" s="86" t="s">
        <v>109</v>
      </c>
      <c r="C154" s="233">
        <f t="shared" si="16"/>
        <v>66034</v>
      </c>
      <c r="D154" s="214">
        <v>58344</v>
      </c>
      <c r="E154" s="214">
        <v>6737</v>
      </c>
      <c r="F154" s="215">
        <v>0</v>
      </c>
      <c r="G154" s="215">
        <v>0</v>
      </c>
      <c r="H154" s="214">
        <v>953</v>
      </c>
    </row>
    <row r="155" spans="1:8" s="106" customFormat="1" x14ac:dyDescent="0.25">
      <c r="A155" s="70" t="s">
        <v>107</v>
      </c>
      <c r="B155" s="86" t="s">
        <v>110</v>
      </c>
      <c r="C155" s="229">
        <f t="shared" si="16"/>
        <v>117166</v>
      </c>
      <c r="D155" s="215">
        <v>49503</v>
      </c>
      <c r="E155" s="214">
        <v>5175</v>
      </c>
      <c r="F155" s="214">
        <v>61210</v>
      </c>
      <c r="G155" s="215">
        <v>0</v>
      </c>
      <c r="H155" s="214">
        <f>598+680</f>
        <v>1278</v>
      </c>
    </row>
    <row r="156" spans="1:8" s="106" customFormat="1" x14ac:dyDescent="0.25">
      <c r="A156" s="70" t="s">
        <v>344</v>
      </c>
      <c r="B156" s="86" t="s">
        <v>522</v>
      </c>
      <c r="C156" s="229">
        <f t="shared" si="16"/>
        <v>277255</v>
      </c>
      <c r="D156" s="215">
        <v>20000</v>
      </c>
      <c r="E156" s="215">
        <v>0</v>
      </c>
      <c r="F156" s="215">
        <v>235006</v>
      </c>
      <c r="G156" s="215">
        <v>0</v>
      </c>
      <c r="H156" s="214">
        <v>22249</v>
      </c>
    </row>
    <row r="157" spans="1:8" s="106" customFormat="1" ht="33" customHeight="1" x14ac:dyDescent="0.25">
      <c r="A157" s="70" t="s">
        <v>653</v>
      </c>
      <c r="B157" s="35" t="s">
        <v>654</v>
      </c>
      <c r="C157" s="229">
        <f t="shared" ref="C157" si="21">SUM(D157+E157+F157+G157+H157)</f>
        <v>22385</v>
      </c>
      <c r="D157" s="215">
        <v>0</v>
      </c>
      <c r="E157" s="215">
        <v>0</v>
      </c>
      <c r="F157" s="215">
        <v>7500</v>
      </c>
      <c r="G157" s="215">
        <v>0</v>
      </c>
      <c r="H157" s="214">
        <v>14885</v>
      </c>
    </row>
    <row r="158" spans="1:8" x14ac:dyDescent="0.25">
      <c r="A158" s="54" t="s">
        <v>111</v>
      </c>
      <c r="B158" s="32" t="s">
        <v>112</v>
      </c>
      <c r="C158" s="216">
        <f t="shared" si="16"/>
        <v>577167</v>
      </c>
      <c r="D158" s="216">
        <f>SUM(D159+D160)</f>
        <v>576534</v>
      </c>
      <c r="E158" s="213">
        <f>SUM(E159+E160)</f>
        <v>121</v>
      </c>
      <c r="F158" s="213">
        <f>SUM(F159+F160)</f>
        <v>0</v>
      </c>
      <c r="G158" s="213">
        <f>SUM(G159+G160)</f>
        <v>0</v>
      </c>
      <c r="H158" s="213">
        <f>SUM(H159+H160)</f>
        <v>512</v>
      </c>
    </row>
    <row r="159" spans="1:8" s="106" customFormat="1" x14ac:dyDescent="0.25">
      <c r="A159" s="70" t="s">
        <v>113</v>
      </c>
      <c r="B159" s="86" t="s">
        <v>115</v>
      </c>
      <c r="C159" s="229">
        <f t="shared" si="16"/>
        <v>265423</v>
      </c>
      <c r="D159" s="215">
        <v>265044</v>
      </c>
      <c r="E159" s="215">
        <v>0</v>
      </c>
      <c r="F159" s="215">
        <v>0</v>
      </c>
      <c r="G159" s="215">
        <v>0</v>
      </c>
      <c r="H159" s="214">
        <v>379</v>
      </c>
    </row>
    <row r="160" spans="1:8" s="106" customFormat="1" x14ac:dyDescent="0.25">
      <c r="A160" s="70" t="s">
        <v>114</v>
      </c>
      <c r="B160" s="86" t="s">
        <v>242</v>
      </c>
      <c r="C160" s="229">
        <f t="shared" si="16"/>
        <v>311744</v>
      </c>
      <c r="D160" s="215">
        <v>311490</v>
      </c>
      <c r="E160" s="215">
        <v>121</v>
      </c>
      <c r="F160" s="215">
        <v>0</v>
      </c>
      <c r="G160" s="215">
        <v>0</v>
      </c>
      <c r="H160" s="214">
        <v>133</v>
      </c>
    </row>
    <row r="161" spans="1:8" x14ac:dyDescent="0.25">
      <c r="A161" s="54" t="s">
        <v>89</v>
      </c>
      <c r="B161" s="32" t="s">
        <v>240</v>
      </c>
      <c r="C161" s="216">
        <f t="shared" si="16"/>
        <v>1226930</v>
      </c>
      <c r="D161" s="216">
        <f>SUM(D162:D163)</f>
        <v>1189866</v>
      </c>
      <c r="E161" s="213">
        <f>SUM(E162:E163)</f>
        <v>5850</v>
      </c>
      <c r="F161" s="213">
        <f>SUM(F162:F163)</f>
        <v>31213</v>
      </c>
      <c r="G161" s="213">
        <f>SUM(G162:G163)</f>
        <v>0</v>
      </c>
      <c r="H161" s="213">
        <f>SUM(H162:H163)</f>
        <v>1</v>
      </c>
    </row>
    <row r="162" spans="1:8" s="106" customFormat="1" ht="30" x14ac:dyDescent="0.25">
      <c r="A162" s="70" t="s">
        <v>139</v>
      </c>
      <c r="B162" s="86" t="s">
        <v>176</v>
      </c>
      <c r="C162" s="216">
        <f>SUM(D162+E162+F162+G162+H162)</f>
        <v>1022380</v>
      </c>
      <c r="D162" s="215">
        <v>985317</v>
      </c>
      <c r="E162" s="215">
        <v>5850</v>
      </c>
      <c r="F162" s="215">
        <v>31213</v>
      </c>
      <c r="G162" s="215">
        <v>0</v>
      </c>
      <c r="H162" s="215">
        <v>0</v>
      </c>
    </row>
    <row r="163" spans="1:8" s="106" customFormat="1" ht="21" customHeight="1" x14ac:dyDescent="0.25">
      <c r="A163" s="70" t="s">
        <v>116</v>
      </c>
      <c r="B163" s="86" t="s">
        <v>384</v>
      </c>
      <c r="C163" s="229">
        <f>SUM(D163+E163+F163+G163+H163)</f>
        <v>204550</v>
      </c>
      <c r="D163" s="215">
        <f>194085+10464</f>
        <v>204549</v>
      </c>
      <c r="E163" s="215">
        <v>0</v>
      </c>
      <c r="F163" s="215">
        <v>0</v>
      </c>
      <c r="G163" s="215">
        <v>0</v>
      </c>
      <c r="H163" s="214">
        <v>1</v>
      </c>
    </row>
    <row r="164" spans="1:8" s="106" customFormat="1" x14ac:dyDescent="0.25">
      <c r="A164" s="54" t="s">
        <v>572</v>
      </c>
      <c r="B164" s="32" t="s">
        <v>241</v>
      </c>
      <c r="C164" s="216">
        <f t="shared" si="16"/>
        <v>51850</v>
      </c>
      <c r="D164" s="216">
        <f>D165</f>
        <v>21850</v>
      </c>
      <c r="E164" s="216">
        <f>E165</f>
        <v>0</v>
      </c>
      <c r="F164" s="216">
        <f>F165</f>
        <v>30000</v>
      </c>
      <c r="G164" s="216">
        <f>G165</f>
        <v>0</v>
      </c>
      <c r="H164" s="216">
        <f>H165</f>
        <v>0</v>
      </c>
    </row>
    <row r="165" spans="1:8" s="106" customFormat="1" x14ac:dyDescent="0.25">
      <c r="A165" s="70" t="s">
        <v>234</v>
      </c>
      <c r="B165" s="86" t="s">
        <v>241</v>
      </c>
      <c r="C165" s="229">
        <f t="shared" si="16"/>
        <v>51850</v>
      </c>
      <c r="D165" s="215">
        <v>21850</v>
      </c>
      <c r="E165" s="215">
        <v>0</v>
      </c>
      <c r="F165" s="215">
        <v>30000</v>
      </c>
      <c r="G165" s="214">
        <v>0</v>
      </c>
      <c r="H165" s="214">
        <v>0</v>
      </c>
    </row>
    <row r="166" spans="1:8" x14ac:dyDescent="0.25">
      <c r="A166" s="54" t="s">
        <v>573</v>
      </c>
      <c r="B166" s="32" t="s">
        <v>575</v>
      </c>
      <c r="C166" s="216">
        <f t="shared" si="16"/>
        <v>369196</v>
      </c>
      <c r="D166" s="216">
        <f>D167</f>
        <v>369196</v>
      </c>
      <c r="E166" s="216">
        <f>E167</f>
        <v>0</v>
      </c>
      <c r="F166" s="216">
        <f>F167</f>
        <v>0</v>
      </c>
      <c r="G166" s="216">
        <f>G167</f>
        <v>0</v>
      </c>
      <c r="H166" s="216">
        <f>H167</f>
        <v>0</v>
      </c>
    </row>
    <row r="167" spans="1:8" ht="30" x14ac:dyDescent="0.25">
      <c r="A167" s="70" t="s">
        <v>288</v>
      </c>
      <c r="B167" s="86" t="s">
        <v>574</v>
      </c>
      <c r="C167" s="229">
        <f t="shared" si="16"/>
        <v>369196</v>
      </c>
      <c r="D167" s="215">
        <v>369196</v>
      </c>
      <c r="E167" s="215">
        <v>0</v>
      </c>
      <c r="F167" s="215">
        <v>0</v>
      </c>
      <c r="G167" s="215">
        <v>0</v>
      </c>
      <c r="H167" s="215">
        <v>0</v>
      </c>
    </row>
    <row r="168" spans="1:8" ht="28.5" x14ac:dyDescent="0.25">
      <c r="A168" s="54" t="s">
        <v>90</v>
      </c>
      <c r="B168" s="32" t="s">
        <v>741</v>
      </c>
      <c r="C168" s="216">
        <f t="shared" si="16"/>
        <v>4529152</v>
      </c>
      <c r="D168" s="216">
        <f>SUM(D169:D175)</f>
        <v>2916259</v>
      </c>
      <c r="E168" s="213">
        <f>SUM(E169:E175)</f>
        <v>12575</v>
      </c>
      <c r="F168" s="213">
        <f>SUM(F169:F175)</f>
        <v>1449808</v>
      </c>
      <c r="G168" s="213">
        <f>SUM(G169:G175)</f>
        <v>1000</v>
      </c>
      <c r="H168" s="213">
        <f>SUM(H169:H175)</f>
        <v>149510</v>
      </c>
    </row>
    <row r="169" spans="1:8" s="106" customFormat="1" x14ac:dyDescent="0.25">
      <c r="A169" s="70" t="s">
        <v>117</v>
      </c>
      <c r="B169" s="86" t="s">
        <v>120</v>
      </c>
      <c r="C169" s="229">
        <f t="shared" si="16"/>
        <v>8580</v>
      </c>
      <c r="D169" s="215">
        <v>8580</v>
      </c>
      <c r="E169" s="215">
        <v>0</v>
      </c>
      <c r="F169" s="215">
        <v>0</v>
      </c>
      <c r="G169" s="215">
        <v>0</v>
      </c>
      <c r="H169" s="215">
        <v>0</v>
      </c>
    </row>
    <row r="170" spans="1:8" s="106" customFormat="1" ht="45" x14ac:dyDescent="0.25">
      <c r="A170" s="68" t="s">
        <v>118</v>
      </c>
      <c r="B170" s="85" t="s">
        <v>523</v>
      </c>
      <c r="C170" s="233">
        <f>SUM(D170+E170+F170+G170+H170)</f>
        <v>73329</v>
      </c>
      <c r="D170" s="214">
        <v>73329</v>
      </c>
      <c r="E170" s="215">
        <v>0</v>
      </c>
      <c r="F170" s="215">
        <v>0</v>
      </c>
      <c r="G170" s="215">
        <v>0</v>
      </c>
      <c r="H170" s="215">
        <v>0</v>
      </c>
    </row>
    <row r="171" spans="1:8" s="106" customFormat="1" x14ac:dyDescent="0.25">
      <c r="A171" s="68" t="s">
        <v>270</v>
      </c>
      <c r="B171" s="86" t="s">
        <v>268</v>
      </c>
      <c r="C171" s="233">
        <f>SUM(D171+E171+F171+G171+H171)</f>
        <v>88183</v>
      </c>
      <c r="D171" s="214">
        <v>82597</v>
      </c>
      <c r="E171" s="214">
        <v>5475</v>
      </c>
      <c r="F171" s="215">
        <v>0</v>
      </c>
      <c r="G171" s="215">
        <v>0</v>
      </c>
      <c r="H171" s="214">
        <v>111</v>
      </c>
    </row>
    <row r="172" spans="1:8" s="106" customFormat="1" x14ac:dyDescent="0.25">
      <c r="A172" s="68" t="s">
        <v>119</v>
      </c>
      <c r="B172" s="85" t="s">
        <v>341</v>
      </c>
      <c r="C172" s="233">
        <f>SUM(D172+E172+F172+G172+H172)</f>
        <v>15573</v>
      </c>
      <c r="D172" s="214">
        <v>13073</v>
      </c>
      <c r="E172" s="214">
        <v>2500</v>
      </c>
      <c r="F172" s="215">
        <v>0</v>
      </c>
      <c r="G172" s="215">
        <v>0</v>
      </c>
      <c r="H172" s="215">
        <v>0</v>
      </c>
    </row>
    <row r="173" spans="1:8" s="106" customFormat="1" x14ac:dyDescent="0.25">
      <c r="A173" s="70" t="s">
        <v>576</v>
      </c>
      <c r="B173" s="86" t="s">
        <v>594</v>
      </c>
      <c r="C173" s="229">
        <f t="shared" si="16"/>
        <v>257476</v>
      </c>
      <c r="D173" s="215">
        <v>246270</v>
      </c>
      <c r="E173" s="215">
        <v>4600</v>
      </c>
      <c r="F173" s="215">
        <v>0</v>
      </c>
      <c r="G173" s="215">
        <v>1000</v>
      </c>
      <c r="H173" s="215">
        <v>5606</v>
      </c>
    </row>
    <row r="174" spans="1:8" s="106" customFormat="1" ht="30" x14ac:dyDescent="0.25">
      <c r="A174" s="68" t="s">
        <v>577</v>
      </c>
      <c r="B174" s="85" t="s">
        <v>595</v>
      </c>
      <c r="C174" s="233">
        <f t="shared" si="16"/>
        <v>3509581</v>
      </c>
      <c r="D174" s="214">
        <v>2247001</v>
      </c>
      <c r="E174" s="214">
        <v>0</v>
      </c>
      <c r="F174" s="215">
        <v>1118787</v>
      </c>
      <c r="G174" s="215">
        <v>0</v>
      </c>
      <c r="H174" s="215">
        <v>143793</v>
      </c>
    </row>
    <row r="175" spans="1:8" s="106" customFormat="1" ht="45" x14ac:dyDescent="0.25">
      <c r="A175" s="68" t="s">
        <v>773</v>
      </c>
      <c r="B175" s="86" t="s">
        <v>774</v>
      </c>
      <c r="C175" s="229">
        <f t="shared" si="16"/>
        <v>576430</v>
      </c>
      <c r="D175" s="215">
        <v>245409</v>
      </c>
      <c r="E175" s="215">
        <v>0</v>
      </c>
      <c r="F175" s="215">
        <v>331021</v>
      </c>
      <c r="G175" s="215">
        <v>0</v>
      </c>
      <c r="H175" s="215">
        <v>0</v>
      </c>
    </row>
    <row r="176" spans="1:8" x14ac:dyDescent="0.25">
      <c r="A176" s="69" t="s">
        <v>260</v>
      </c>
      <c r="B176" s="29" t="s">
        <v>366</v>
      </c>
      <c r="C176" s="213">
        <f>D176+E176+F176+G176+H176</f>
        <v>1425436</v>
      </c>
      <c r="D176" s="213">
        <f>SUM(D177:D179)</f>
        <v>1415712</v>
      </c>
      <c r="E176" s="213">
        <f>SUM(E177:E179)</f>
        <v>100</v>
      </c>
      <c r="F176" s="213">
        <f>SUM(F177:F179)</f>
        <v>4000</v>
      </c>
      <c r="G176" s="213">
        <f>SUM(G177:G179)</f>
        <v>0</v>
      </c>
      <c r="H176" s="213">
        <f>SUM(H177:H179)</f>
        <v>5624</v>
      </c>
    </row>
    <row r="177" spans="1:9" ht="30" x14ac:dyDescent="0.25">
      <c r="A177" s="68" t="s">
        <v>273</v>
      </c>
      <c r="B177" s="85" t="s">
        <v>386</v>
      </c>
      <c r="C177" s="233">
        <f t="shared" si="16"/>
        <v>1141336</v>
      </c>
      <c r="D177" s="214">
        <v>1135621</v>
      </c>
      <c r="E177" s="214">
        <v>100</v>
      </c>
      <c r="F177" s="214">
        <v>0</v>
      </c>
      <c r="G177" s="215">
        <v>0</v>
      </c>
      <c r="H177" s="214">
        <v>5615</v>
      </c>
    </row>
    <row r="178" spans="1:9" ht="30" x14ac:dyDescent="0.25">
      <c r="A178" s="68" t="s">
        <v>262</v>
      </c>
      <c r="B178" s="85" t="s">
        <v>261</v>
      </c>
      <c r="C178" s="233">
        <f>SUM(D178+E178+F178+G178+H178)</f>
        <v>14850</v>
      </c>
      <c r="D178" s="214">
        <v>10850</v>
      </c>
      <c r="E178" s="215">
        <v>0</v>
      </c>
      <c r="F178" s="215">
        <v>4000</v>
      </c>
      <c r="G178" s="215">
        <v>0</v>
      </c>
      <c r="H178" s="215">
        <v>0</v>
      </c>
    </row>
    <row r="179" spans="1:9" ht="30" x14ac:dyDescent="0.25">
      <c r="A179" s="68" t="s">
        <v>248</v>
      </c>
      <c r="B179" s="85" t="s">
        <v>263</v>
      </c>
      <c r="C179" s="233">
        <f>SUM(D179+E179+F179+G179+H179)</f>
        <v>269250</v>
      </c>
      <c r="D179" s="214">
        <v>269241</v>
      </c>
      <c r="E179" s="215">
        <v>0</v>
      </c>
      <c r="F179" s="215">
        <v>0</v>
      </c>
      <c r="G179" s="215">
        <v>0</v>
      </c>
      <c r="H179" s="214">
        <v>9</v>
      </c>
    </row>
    <row r="180" spans="1:9" s="87" customFormat="1" x14ac:dyDescent="0.25">
      <c r="A180" s="21"/>
      <c r="B180" s="27" t="s">
        <v>50</v>
      </c>
      <c r="C180" s="235">
        <f>SUM(D180+E180+F180+G180+H180)</f>
        <v>10214078</v>
      </c>
      <c r="D180" s="235">
        <f>D181+D182+D188</f>
        <v>1210716</v>
      </c>
      <c r="E180" s="235">
        <f>E181+E182+E188</f>
        <v>0</v>
      </c>
      <c r="F180" s="235">
        <f>F181+F182+F188</f>
        <v>3500927</v>
      </c>
      <c r="G180" s="235">
        <f>G181+G182+G188</f>
        <v>0</v>
      </c>
      <c r="H180" s="235">
        <f>H181+H182+H188</f>
        <v>5502435</v>
      </c>
      <c r="I180" s="110"/>
    </row>
    <row r="181" spans="1:9" x14ac:dyDescent="0.25">
      <c r="A181" s="31" t="s">
        <v>157</v>
      </c>
      <c r="B181" s="32" t="s">
        <v>158</v>
      </c>
      <c r="C181" s="216">
        <f t="shared" si="16"/>
        <v>9003362</v>
      </c>
      <c r="D181" s="216">
        <v>0</v>
      </c>
      <c r="E181" s="216">
        <v>0</v>
      </c>
      <c r="F181" s="216">
        <v>3500927</v>
      </c>
      <c r="G181" s="216">
        <v>0</v>
      </c>
      <c r="H181" s="216">
        <v>5502435</v>
      </c>
      <c r="I181" s="111"/>
    </row>
    <row r="182" spans="1:9" s="87" customFormat="1" ht="17.25" customHeight="1" x14ac:dyDescent="0.25">
      <c r="A182" s="31" t="s">
        <v>92</v>
      </c>
      <c r="B182" s="32" t="s">
        <v>159</v>
      </c>
      <c r="C182" s="216">
        <f>SUM(D182+E182+F182+G182+H182)</f>
        <v>339696</v>
      </c>
      <c r="D182" s="213">
        <f>D185+D183+D184+D186+D187</f>
        <v>339696</v>
      </c>
      <c r="E182" s="213">
        <f>E185+E183+E184+E186+E187</f>
        <v>0</v>
      </c>
      <c r="F182" s="213">
        <f>F185+F183+F184+F186+F187</f>
        <v>0</v>
      </c>
      <c r="G182" s="213">
        <f>G185+G183+G184+G186+G187</f>
        <v>0</v>
      </c>
      <c r="H182" s="213">
        <f>H185+H183+H184+H186+H187</f>
        <v>0</v>
      </c>
      <c r="I182" s="110"/>
    </row>
    <row r="183" spans="1:9" s="113" customFormat="1" hidden="1" x14ac:dyDescent="0.25">
      <c r="A183" s="31"/>
      <c r="B183" s="86" t="s">
        <v>596</v>
      </c>
      <c r="C183" s="183">
        <f t="shared" si="16"/>
        <v>0</v>
      </c>
      <c r="D183" s="176"/>
      <c r="E183" s="183"/>
      <c r="F183" s="183"/>
      <c r="G183" s="183"/>
      <c r="H183" s="183"/>
      <c r="I183" s="112"/>
    </row>
    <row r="184" spans="1:9" s="113" customFormat="1" hidden="1" x14ac:dyDescent="0.25">
      <c r="A184" s="31"/>
      <c r="B184" s="86" t="s">
        <v>597</v>
      </c>
      <c r="C184" s="183">
        <f t="shared" si="16"/>
        <v>0</v>
      </c>
      <c r="D184" s="176"/>
      <c r="E184" s="176"/>
      <c r="F184" s="176"/>
      <c r="G184" s="176"/>
      <c r="H184" s="176"/>
    </row>
    <row r="185" spans="1:9" x14ac:dyDescent="0.25">
      <c r="A185" s="31"/>
      <c r="B185" s="86" t="s">
        <v>598</v>
      </c>
      <c r="C185" s="229">
        <f t="shared" si="16"/>
        <v>339696</v>
      </c>
      <c r="D185" s="215">
        <v>339696</v>
      </c>
      <c r="E185" s="215">
        <v>0</v>
      </c>
      <c r="F185" s="215">
        <v>0</v>
      </c>
      <c r="G185" s="215">
        <v>0</v>
      </c>
      <c r="H185" s="215">
        <v>0</v>
      </c>
    </row>
    <row r="186" spans="1:9" hidden="1" x14ac:dyDescent="0.25">
      <c r="A186" s="31"/>
      <c r="B186" s="86" t="s">
        <v>599</v>
      </c>
      <c r="C186" s="183">
        <f>SUM(D186+E186+F186+G186+H186)</f>
        <v>0</v>
      </c>
      <c r="D186" s="176"/>
      <c r="E186" s="176"/>
      <c r="F186" s="176"/>
      <c r="G186" s="176"/>
      <c r="H186" s="176"/>
    </row>
    <row r="187" spans="1:9" hidden="1" x14ac:dyDescent="0.25">
      <c r="A187" s="31"/>
      <c r="B187" s="86" t="s">
        <v>600</v>
      </c>
      <c r="C187" s="183">
        <f>SUM(D187+E187+F187+G187+H187)</f>
        <v>0</v>
      </c>
      <c r="D187" s="176"/>
      <c r="E187" s="176"/>
      <c r="F187" s="176"/>
      <c r="G187" s="176"/>
      <c r="H187" s="176"/>
    </row>
    <row r="188" spans="1:9" x14ac:dyDescent="0.25">
      <c r="A188" s="31" t="s">
        <v>693</v>
      </c>
      <c r="B188" s="54" t="s">
        <v>289</v>
      </c>
      <c r="C188" s="216">
        <f>SUM(D188+E188+F188+G188+H188)</f>
        <v>871020</v>
      </c>
      <c r="D188" s="228">
        <f>901020-30000</f>
        <v>871020</v>
      </c>
      <c r="E188" s="228"/>
      <c r="F188" s="228"/>
      <c r="G188" s="228"/>
      <c r="H188" s="228"/>
    </row>
    <row r="189" spans="1:9" x14ac:dyDescent="0.25">
      <c r="A189" s="55"/>
      <c r="B189" s="27" t="s">
        <v>72</v>
      </c>
      <c r="C189" s="235">
        <f t="shared" ref="C189:H189" si="22">SUM(C180+C9)</f>
        <v>101121156</v>
      </c>
      <c r="D189" s="235">
        <f t="shared" si="22"/>
        <v>64022134</v>
      </c>
      <c r="E189" s="235">
        <f t="shared" si="22"/>
        <v>1390052</v>
      </c>
      <c r="F189" s="235">
        <f t="shared" si="22"/>
        <v>26187899</v>
      </c>
      <c r="G189" s="235">
        <f t="shared" si="22"/>
        <v>688859</v>
      </c>
      <c r="H189" s="235">
        <f t="shared" si="22"/>
        <v>8832212</v>
      </c>
    </row>
    <row r="190" spans="1:9" s="114" customFormat="1" x14ac:dyDescent="0.25">
      <c r="A190" s="13"/>
      <c r="B190" s="14"/>
      <c r="C190" s="201"/>
      <c r="D190" s="202"/>
      <c r="E190" s="202"/>
      <c r="F190" s="13"/>
      <c r="G190" s="13"/>
      <c r="H190" s="117"/>
    </row>
    <row r="191" spans="1:9" x14ac:dyDescent="0.25">
      <c r="C191" s="201"/>
      <c r="D191" s="202"/>
      <c r="E191" s="13"/>
      <c r="F191" s="13"/>
      <c r="G191" s="13"/>
      <c r="H191" s="13"/>
    </row>
    <row r="192" spans="1:9" s="114" customFormat="1" ht="18.75" x14ac:dyDescent="0.3">
      <c r="A192" s="56" t="s">
        <v>25</v>
      </c>
      <c r="B192" s="120"/>
      <c r="C192" s="88"/>
      <c r="D192" s="57"/>
      <c r="E192" s="56"/>
      <c r="F192" s="56"/>
      <c r="G192" s="56"/>
      <c r="H192" s="129" t="s">
        <v>78</v>
      </c>
    </row>
    <row r="193" spans="3:8" x14ac:dyDescent="0.25">
      <c r="C193" s="201"/>
      <c r="D193" s="115"/>
      <c r="E193" s="13"/>
      <c r="F193" s="13"/>
      <c r="G193" s="13"/>
      <c r="H193" s="13"/>
    </row>
    <row r="194" spans="3:8" x14ac:dyDescent="0.25">
      <c r="C194" s="116"/>
      <c r="D194" s="115"/>
      <c r="E194" s="13"/>
      <c r="F194" s="13"/>
      <c r="G194" s="13"/>
      <c r="H194" s="13"/>
    </row>
    <row r="195" spans="3:8" x14ac:dyDescent="0.25">
      <c r="C195" s="116"/>
      <c r="D195" s="115"/>
      <c r="E195" s="117"/>
      <c r="F195" s="13"/>
      <c r="G195" s="13"/>
      <c r="H195" s="13"/>
    </row>
    <row r="196" spans="3:8" x14ac:dyDescent="0.25">
      <c r="C196" s="118"/>
    </row>
  </sheetData>
  <mergeCells count="6">
    <mergeCell ref="A4:H4"/>
    <mergeCell ref="A5:H5"/>
    <mergeCell ref="D7:H7"/>
    <mergeCell ref="A7:A8"/>
    <mergeCell ref="B7:B8"/>
    <mergeCell ref="C7:C8"/>
  </mergeCells>
  <phoneticPr fontId="0" type="noConversion"/>
  <printOptions horizontalCentered="1"/>
  <pageMargins left="0.78740157480314965" right="0.78740157480314965" top="0.78740157480314965" bottom="0.39370078740157483" header="0.19685039370078741" footer="0.19685039370078741"/>
  <pageSetup paperSize="9" scale="88" fitToHeight="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736"/>
  <sheetViews>
    <sheetView showGridLines="0" workbookViewId="0">
      <selection activeCell="E5" sqref="E5"/>
    </sheetView>
  </sheetViews>
  <sheetFormatPr defaultRowHeight="12.75" x14ac:dyDescent="0.2"/>
  <cols>
    <col min="1" max="1" width="10.7109375" style="122" customWidth="1"/>
    <col min="2" max="2" width="60.85546875" style="122" customWidth="1"/>
    <col min="3" max="3" width="15.85546875" style="122" customWidth="1"/>
    <col min="4" max="16384" width="9.140625" style="123"/>
  </cols>
  <sheetData>
    <row r="1" spans="1:3" ht="15.75" x14ac:dyDescent="0.2">
      <c r="A1" s="258"/>
      <c r="B1" s="258"/>
      <c r="C1" s="259" t="s">
        <v>805</v>
      </c>
    </row>
    <row r="2" spans="1:3" ht="15" x14ac:dyDescent="0.2">
      <c r="A2" s="258"/>
      <c r="B2" s="258"/>
      <c r="C2" s="251" t="s">
        <v>866</v>
      </c>
    </row>
    <row r="3" spans="1:3" ht="15" x14ac:dyDescent="0.2">
      <c r="A3" s="258"/>
      <c r="B3" s="258"/>
      <c r="C3" s="251" t="s">
        <v>867</v>
      </c>
    </row>
    <row r="4" spans="1:3" ht="15" x14ac:dyDescent="0.2">
      <c r="A4" s="258"/>
      <c r="B4" s="258"/>
      <c r="C4" s="260"/>
    </row>
    <row r="5" spans="1:3" ht="49.5" customHeight="1" x14ac:dyDescent="0.2">
      <c r="A5" s="471" t="s">
        <v>860</v>
      </c>
      <c r="B5" s="472"/>
      <c r="C5" s="472"/>
    </row>
    <row r="6" spans="1:3" ht="15" x14ac:dyDescent="0.2">
      <c r="A6" s="258"/>
      <c r="B6" s="478"/>
      <c r="C6" s="478"/>
    </row>
    <row r="7" spans="1:3" ht="31.5" customHeight="1" x14ac:dyDescent="0.2">
      <c r="A7" s="479" t="s">
        <v>300</v>
      </c>
      <c r="B7" s="480"/>
      <c r="C7" s="252" t="s">
        <v>738</v>
      </c>
    </row>
    <row r="8" spans="1:3" ht="15.75" customHeight="1" x14ac:dyDescent="0.2">
      <c r="A8" s="475" t="s">
        <v>419</v>
      </c>
      <c r="B8" s="476"/>
      <c r="C8" s="476"/>
    </row>
    <row r="9" spans="1:3" ht="14.25" x14ac:dyDescent="0.2">
      <c r="A9" s="267"/>
      <c r="B9" s="268" t="s">
        <v>301</v>
      </c>
      <c r="C9" s="269">
        <v>32142832</v>
      </c>
    </row>
    <row r="10" spans="1:3" ht="14.25" x14ac:dyDescent="0.2">
      <c r="A10" s="267"/>
      <c r="B10" s="268" t="s">
        <v>395</v>
      </c>
      <c r="C10" s="269">
        <v>3952668</v>
      </c>
    </row>
    <row r="11" spans="1:3" ht="14.25" x14ac:dyDescent="0.2">
      <c r="A11" s="267"/>
      <c r="B11" s="268" t="s">
        <v>394</v>
      </c>
      <c r="C11" s="269">
        <v>2488670</v>
      </c>
    </row>
    <row r="12" spans="1:3" ht="14.25" x14ac:dyDescent="0.2">
      <c r="A12" s="267"/>
      <c r="B12" s="268" t="s">
        <v>393</v>
      </c>
      <c r="C12" s="269">
        <v>44307</v>
      </c>
    </row>
    <row r="13" spans="1:3" ht="14.25" x14ac:dyDescent="0.2">
      <c r="A13" s="267"/>
      <c r="B13" s="268" t="s">
        <v>392</v>
      </c>
      <c r="C13" s="269">
        <v>24547277</v>
      </c>
    </row>
    <row r="14" spans="1:3" ht="14.25" x14ac:dyDescent="0.2">
      <c r="A14" s="267"/>
      <c r="B14" s="268" t="s">
        <v>391</v>
      </c>
      <c r="C14" s="269">
        <v>10000</v>
      </c>
    </row>
    <row r="15" spans="1:3" ht="28.5" x14ac:dyDescent="0.2">
      <c r="A15" s="267"/>
      <c r="B15" s="268" t="s">
        <v>390</v>
      </c>
      <c r="C15" s="269">
        <v>1099910</v>
      </c>
    </row>
    <row r="17" spans="1:3" ht="15.75" customHeight="1" x14ac:dyDescent="0.2">
      <c r="A17" s="473" t="s">
        <v>302</v>
      </c>
      <c r="B17" s="474"/>
      <c r="C17" s="474"/>
    </row>
    <row r="18" spans="1:3" ht="14.25" x14ac:dyDescent="0.2">
      <c r="B18" s="265" t="s">
        <v>301</v>
      </c>
      <c r="C18" s="266">
        <v>4642712</v>
      </c>
    </row>
    <row r="19" spans="1:3" ht="15" x14ac:dyDescent="0.2">
      <c r="B19" s="261" t="s">
        <v>395</v>
      </c>
      <c r="C19" s="262">
        <v>3758902</v>
      </c>
    </row>
    <row r="20" spans="1:3" ht="15" x14ac:dyDescent="0.2">
      <c r="B20" s="261" t="s">
        <v>394</v>
      </c>
      <c r="C20" s="262">
        <v>692810</v>
      </c>
    </row>
    <row r="21" spans="1:3" ht="15" x14ac:dyDescent="0.2">
      <c r="B21" s="261" t="s">
        <v>392</v>
      </c>
      <c r="C21" s="262">
        <v>191000</v>
      </c>
    </row>
    <row r="23" spans="1:3" ht="31.5" customHeight="1" x14ac:dyDescent="0.2">
      <c r="A23" s="473" t="s">
        <v>418</v>
      </c>
      <c r="B23" s="474"/>
      <c r="C23" s="474"/>
    </row>
    <row r="24" spans="1:3" s="270" customFormat="1" ht="14.25" x14ac:dyDescent="0.2">
      <c r="A24" s="264"/>
      <c r="B24" s="265" t="s">
        <v>301</v>
      </c>
      <c r="C24" s="266">
        <v>25735</v>
      </c>
    </row>
    <row r="25" spans="1:3" ht="30" x14ac:dyDescent="0.2">
      <c r="B25" s="261" t="s">
        <v>390</v>
      </c>
      <c r="C25" s="262">
        <v>25735</v>
      </c>
    </row>
    <row r="27" spans="1:3" ht="31.5" customHeight="1" x14ac:dyDescent="0.2">
      <c r="A27" s="473" t="s">
        <v>604</v>
      </c>
      <c r="B27" s="474"/>
      <c r="C27" s="474"/>
    </row>
    <row r="28" spans="1:3" s="270" customFormat="1" ht="14.25" x14ac:dyDescent="0.2">
      <c r="A28" s="264"/>
      <c r="B28" s="265" t="s">
        <v>301</v>
      </c>
      <c r="C28" s="266">
        <v>800</v>
      </c>
    </row>
    <row r="29" spans="1:3" ht="15" x14ac:dyDescent="0.2">
      <c r="B29" s="261" t="s">
        <v>394</v>
      </c>
      <c r="C29" s="262">
        <v>800</v>
      </c>
    </row>
    <row r="31" spans="1:3" ht="31.5" customHeight="1" x14ac:dyDescent="0.2">
      <c r="A31" s="473" t="s">
        <v>695</v>
      </c>
      <c r="B31" s="474"/>
      <c r="C31" s="474"/>
    </row>
    <row r="32" spans="1:3" s="270" customFormat="1" ht="14.25" x14ac:dyDescent="0.2">
      <c r="A32" s="264"/>
      <c r="B32" s="265" t="s">
        <v>301</v>
      </c>
      <c r="C32" s="266">
        <v>91580</v>
      </c>
    </row>
    <row r="33" spans="1:3" ht="15" x14ac:dyDescent="0.2">
      <c r="B33" s="261" t="s">
        <v>394</v>
      </c>
      <c r="C33" s="262">
        <v>91580</v>
      </c>
    </row>
    <row r="35" spans="1:3" ht="15.75" customHeight="1" x14ac:dyDescent="0.2">
      <c r="A35" s="473" t="s">
        <v>303</v>
      </c>
      <c r="B35" s="474"/>
      <c r="C35" s="474"/>
    </row>
    <row r="36" spans="1:3" s="270" customFormat="1" ht="14.25" x14ac:dyDescent="0.2">
      <c r="A36" s="264"/>
      <c r="B36" s="265" t="s">
        <v>301</v>
      </c>
      <c r="C36" s="266">
        <v>642364</v>
      </c>
    </row>
    <row r="37" spans="1:3" ht="15" x14ac:dyDescent="0.2">
      <c r="B37" s="261" t="s">
        <v>394</v>
      </c>
      <c r="C37" s="262">
        <v>416304</v>
      </c>
    </row>
    <row r="38" spans="1:3" ht="15" x14ac:dyDescent="0.2">
      <c r="B38" s="261" t="s">
        <v>392</v>
      </c>
      <c r="C38" s="262">
        <v>226060</v>
      </c>
    </row>
    <row r="40" spans="1:3" ht="31.5" customHeight="1" x14ac:dyDescent="0.2">
      <c r="A40" s="473" t="s">
        <v>605</v>
      </c>
      <c r="B40" s="474"/>
      <c r="C40" s="474"/>
    </row>
    <row r="41" spans="1:3" s="270" customFormat="1" ht="14.25" x14ac:dyDescent="0.2">
      <c r="A41" s="264"/>
      <c r="B41" s="265" t="s">
        <v>301</v>
      </c>
      <c r="C41" s="266">
        <v>172166</v>
      </c>
    </row>
    <row r="42" spans="1:3" ht="15" x14ac:dyDescent="0.2">
      <c r="B42" s="261" t="s">
        <v>394</v>
      </c>
      <c r="C42" s="262">
        <v>9862</v>
      </c>
    </row>
    <row r="43" spans="1:3" ht="30" x14ac:dyDescent="0.2">
      <c r="B43" s="261" t="s">
        <v>390</v>
      </c>
      <c r="C43" s="262">
        <v>162304</v>
      </c>
    </row>
    <row r="45" spans="1:3" ht="15.75" customHeight="1" x14ac:dyDescent="0.2">
      <c r="A45" s="473" t="s">
        <v>779</v>
      </c>
      <c r="B45" s="474"/>
      <c r="C45" s="474"/>
    </row>
    <row r="46" spans="1:3" s="270" customFormat="1" ht="14.25" x14ac:dyDescent="0.2">
      <c r="A46" s="264"/>
      <c r="B46" s="265" t="s">
        <v>301</v>
      </c>
      <c r="C46" s="266">
        <v>50000</v>
      </c>
    </row>
    <row r="47" spans="1:3" ht="15" x14ac:dyDescent="0.2">
      <c r="B47" s="261" t="s">
        <v>395</v>
      </c>
      <c r="C47" s="262">
        <v>43250</v>
      </c>
    </row>
    <row r="48" spans="1:3" ht="15" x14ac:dyDescent="0.2">
      <c r="B48" s="261" t="s">
        <v>394</v>
      </c>
      <c r="C48" s="262">
        <v>6750</v>
      </c>
    </row>
    <row r="50" spans="1:3" ht="31.5" customHeight="1" x14ac:dyDescent="0.2">
      <c r="A50" s="473" t="s">
        <v>780</v>
      </c>
      <c r="B50" s="474"/>
      <c r="C50" s="474"/>
    </row>
    <row r="51" spans="1:3" s="270" customFormat="1" ht="14.25" x14ac:dyDescent="0.2">
      <c r="A51" s="264"/>
      <c r="B51" s="265" t="s">
        <v>301</v>
      </c>
      <c r="C51" s="266">
        <v>239069</v>
      </c>
    </row>
    <row r="52" spans="1:3" ht="15" x14ac:dyDescent="0.2">
      <c r="B52" s="261" t="s">
        <v>394</v>
      </c>
      <c r="C52" s="262">
        <v>340</v>
      </c>
    </row>
    <row r="53" spans="1:3" ht="15" x14ac:dyDescent="0.2">
      <c r="B53" s="261" t="s">
        <v>392</v>
      </c>
      <c r="C53" s="262">
        <v>238729</v>
      </c>
    </row>
    <row r="55" spans="1:3" ht="31.5" customHeight="1" x14ac:dyDescent="0.2">
      <c r="A55" s="473" t="s">
        <v>781</v>
      </c>
      <c r="B55" s="474"/>
      <c r="C55" s="474"/>
    </row>
    <row r="56" spans="1:3" s="270" customFormat="1" ht="14.25" x14ac:dyDescent="0.2">
      <c r="A56" s="264"/>
      <c r="B56" s="265" t="s">
        <v>301</v>
      </c>
      <c r="C56" s="266">
        <v>483827</v>
      </c>
    </row>
    <row r="57" spans="1:3" ht="15" x14ac:dyDescent="0.2">
      <c r="B57" s="261" t="s">
        <v>392</v>
      </c>
      <c r="C57" s="262">
        <v>483827</v>
      </c>
    </row>
    <row r="59" spans="1:3" ht="31.5" customHeight="1" x14ac:dyDescent="0.2">
      <c r="A59" s="473" t="s">
        <v>696</v>
      </c>
      <c r="B59" s="474"/>
      <c r="C59" s="474"/>
    </row>
    <row r="60" spans="1:3" s="270" customFormat="1" ht="14.25" x14ac:dyDescent="0.2">
      <c r="A60" s="264"/>
      <c r="B60" s="265" t="s">
        <v>301</v>
      </c>
      <c r="C60" s="266">
        <v>2213059</v>
      </c>
    </row>
    <row r="61" spans="1:3" ht="15" x14ac:dyDescent="0.2">
      <c r="B61" s="261" t="s">
        <v>392</v>
      </c>
      <c r="C61" s="262">
        <v>2213059</v>
      </c>
    </row>
    <row r="63" spans="1:3" ht="31.5" customHeight="1" x14ac:dyDescent="0.2">
      <c r="A63" s="473" t="s">
        <v>782</v>
      </c>
      <c r="B63" s="474"/>
      <c r="C63" s="474"/>
    </row>
    <row r="64" spans="1:3" s="270" customFormat="1" ht="14.25" x14ac:dyDescent="0.2">
      <c r="A64" s="264"/>
      <c r="B64" s="265" t="s">
        <v>301</v>
      </c>
      <c r="C64" s="266">
        <v>1097871</v>
      </c>
    </row>
    <row r="65" spans="1:3" ht="15" x14ac:dyDescent="0.2">
      <c r="B65" s="261" t="s">
        <v>392</v>
      </c>
      <c r="C65" s="262">
        <v>1097871</v>
      </c>
    </row>
    <row r="67" spans="1:3" ht="31.5" customHeight="1" x14ac:dyDescent="0.2">
      <c r="A67" s="473" t="s">
        <v>606</v>
      </c>
      <c r="B67" s="474"/>
      <c r="C67" s="474"/>
    </row>
    <row r="68" spans="1:3" s="270" customFormat="1" ht="14.25" x14ac:dyDescent="0.2">
      <c r="A68" s="264"/>
      <c r="B68" s="265" t="s">
        <v>301</v>
      </c>
      <c r="C68" s="266">
        <v>1215611</v>
      </c>
    </row>
    <row r="69" spans="1:3" ht="15" x14ac:dyDescent="0.2">
      <c r="B69" s="261" t="s">
        <v>394</v>
      </c>
      <c r="C69" s="262">
        <v>9696</v>
      </c>
    </row>
    <row r="70" spans="1:3" ht="15" x14ac:dyDescent="0.2">
      <c r="B70" s="261" t="s">
        <v>392</v>
      </c>
      <c r="C70" s="262">
        <v>1011444</v>
      </c>
    </row>
    <row r="71" spans="1:3" ht="30" x14ac:dyDescent="0.2">
      <c r="B71" s="261" t="s">
        <v>390</v>
      </c>
      <c r="C71" s="262">
        <v>194471</v>
      </c>
    </row>
    <row r="73" spans="1:3" ht="31.5" customHeight="1" x14ac:dyDescent="0.2">
      <c r="A73" s="473" t="s">
        <v>783</v>
      </c>
      <c r="B73" s="474"/>
      <c r="C73" s="474"/>
    </row>
    <row r="74" spans="1:3" s="270" customFormat="1" ht="14.25" x14ac:dyDescent="0.2">
      <c r="A74" s="264"/>
      <c r="B74" s="265" t="s">
        <v>301</v>
      </c>
      <c r="C74" s="266">
        <v>428916</v>
      </c>
    </row>
    <row r="75" spans="1:3" ht="15" x14ac:dyDescent="0.2">
      <c r="B75" s="261" t="s">
        <v>394</v>
      </c>
      <c r="C75" s="262">
        <v>64886</v>
      </c>
    </row>
    <row r="76" spans="1:3" ht="15" x14ac:dyDescent="0.2">
      <c r="B76" s="261" t="s">
        <v>392</v>
      </c>
      <c r="C76" s="262">
        <v>181000</v>
      </c>
    </row>
    <row r="77" spans="1:3" ht="30" x14ac:dyDescent="0.2">
      <c r="B77" s="261" t="s">
        <v>390</v>
      </c>
      <c r="C77" s="262">
        <v>183030</v>
      </c>
    </row>
    <row r="79" spans="1:3" ht="31.5" customHeight="1" x14ac:dyDescent="0.2">
      <c r="A79" s="473" t="s">
        <v>784</v>
      </c>
      <c r="B79" s="474"/>
      <c r="C79" s="474"/>
    </row>
    <row r="80" spans="1:3" s="270" customFormat="1" ht="14.25" x14ac:dyDescent="0.2">
      <c r="A80" s="264"/>
      <c r="B80" s="265" t="s">
        <v>301</v>
      </c>
      <c r="C80" s="266">
        <v>1567559</v>
      </c>
    </row>
    <row r="81" spans="1:3" ht="15" x14ac:dyDescent="0.2">
      <c r="B81" s="261" t="s">
        <v>392</v>
      </c>
      <c r="C81" s="262">
        <v>1567559</v>
      </c>
    </row>
    <row r="83" spans="1:3" ht="15.75" customHeight="1" x14ac:dyDescent="0.2">
      <c r="A83" s="473" t="s">
        <v>785</v>
      </c>
      <c r="B83" s="474"/>
      <c r="C83" s="474"/>
    </row>
    <row r="84" spans="1:3" s="270" customFormat="1" ht="14.25" x14ac:dyDescent="0.2">
      <c r="A84" s="264"/>
      <c r="B84" s="265" t="s">
        <v>301</v>
      </c>
      <c r="C84" s="266">
        <v>4168337</v>
      </c>
    </row>
    <row r="85" spans="1:3" ht="15" x14ac:dyDescent="0.2">
      <c r="B85" s="261" t="s">
        <v>392</v>
      </c>
      <c r="C85" s="262">
        <v>4168337</v>
      </c>
    </row>
    <row r="87" spans="1:3" ht="15.75" customHeight="1" x14ac:dyDescent="0.2">
      <c r="A87" s="473" t="s">
        <v>308</v>
      </c>
      <c r="B87" s="474"/>
      <c r="C87" s="474"/>
    </row>
    <row r="88" spans="1:3" s="270" customFormat="1" ht="14.25" x14ac:dyDescent="0.2">
      <c r="A88" s="264"/>
      <c r="B88" s="265" t="s">
        <v>301</v>
      </c>
      <c r="C88" s="266">
        <v>39900</v>
      </c>
    </row>
    <row r="89" spans="1:3" ht="15" x14ac:dyDescent="0.2">
      <c r="B89" s="261" t="s">
        <v>394</v>
      </c>
      <c r="C89" s="262">
        <v>39900</v>
      </c>
    </row>
    <row r="91" spans="1:3" ht="31.5" customHeight="1" x14ac:dyDescent="0.2">
      <c r="A91" s="473" t="s">
        <v>607</v>
      </c>
      <c r="B91" s="474"/>
      <c r="C91" s="474"/>
    </row>
    <row r="92" spans="1:3" s="270" customFormat="1" ht="14.25" x14ac:dyDescent="0.2">
      <c r="A92" s="264"/>
      <c r="B92" s="265" t="s">
        <v>301</v>
      </c>
      <c r="C92" s="266">
        <v>2335848</v>
      </c>
    </row>
    <row r="93" spans="1:3" ht="15" x14ac:dyDescent="0.2">
      <c r="B93" s="261" t="s">
        <v>392</v>
      </c>
      <c r="C93" s="262">
        <v>2335848</v>
      </c>
    </row>
    <row r="95" spans="1:3" ht="47.25" customHeight="1" x14ac:dyDescent="0.2">
      <c r="A95" s="473" t="s">
        <v>608</v>
      </c>
      <c r="B95" s="474"/>
      <c r="C95" s="474"/>
    </row>
    <row r="96" spans="1:3" s="270" customFormat="1" ht="14.25" x14ac:dyDescent="0.2">
      <c r="A96" s="264"/>
      <c r="B96" s="265" t="s">
        <v>301</v>
      </c>
      <c r="C96" s="266">
        <v>314136</v>
      </c>
    </row>
    <row r="97" spans="1:3" ht="30" x14ac:dyDescent="0.2">
      <c r="B97" s="261" t="s">
        <v>390</v>
      </c>
      <c r="C97" s="262">
        <v>314136</v>
      </c>
    </row>
    <row r="99" spans="1:3" ht="15.75" customHeight="1" x14ac:dyDescent="0.2">
      <c r="A99" s="473" t="s">
        <v>311</v>
      </c>
      <c r="B99" s="474"/>
      <c r="C99" s="474"/>
    </row>
    <row r="100" spans="1:3" s="270" customFormat="1" ht="14.25" x14ac:dyDescent="0.2">
      <c r="A100" s="264"/>
      <c r="B100" s="265" t="s">
        <v>301</v>
      </c>
      <c r="C100" s="266">
        <v>730369</v>
      </c>
    </row>
    <row r="101" spans="1:3" ht="15" x14ac:dyDescent="0.2">
      <c r="B101" s="261" t="s">
        <v>395</v>
      </c>
      <c r="C101" s="262">
        <v>1500</v>
      </c>
    </row>
    <row r="102" spans="1:3" ht="15" x14ac:dyDescent="0.2">
      <c r="B102" s="261" t="s">
        <v>394</v>
      </c>
      <c r="C102" s="262">
        <v>30000</v>
      </c>
    </row>
    <row r="103" spans="1:3" ht="15" x14ac:dyDescent="0.2">
      <c r="B103" s="261" t="s">
        <v>392</v>
      </c>
      <c r="C103" s="262">
        <v>698869</v>
      </c>
    </row>
    <row r="105" spans="1:3" ht="15.75" customHeight="1" x14ac:dyDescent="0.2">
      <c r="A105" s="473" t="s">
        <v>313</v>
      </c>
      <c r="B105" s="474"/>
      <c r="C105" s="474"/>
    </row>
    <row r="106" spans="1:3" s="270" customFormat="1" ht="14.25" x14ac:dyDescent="0.2">
      <c r="A106" s="264"/>
      <c r="B106" s="265" t="s">
        <v>301</v>
      </c>
      <c r="C106" s="266">
        <v>272382</v>
      </c>
    </row>
    <row r="107" spans="1:3" ht="15" x14ac:dyDescent="0.2">
      <c r="B107" s="261" t="s">
        <v>394</v>
      </c>
      <c r="C107" s="262">
        <v>186382</v>
      </c>
    </row>
    <row r="108" spans="1:3" ht="15" x14ac:dyDescent="0.2">
      <c r="B108" s="261" t="s">
        <v>393</v>
      </c>
      <c r="C108" s="262">
        <v>25000</v>
      </c>
    </row>
    <row r="109" spans="1:3" ht="15" x14ac:dyDescent="0.2">
      <c r="B109" s="261" t="s">
        <v>392</v>
      </c>
      <c r="C109" s="262">
        <v>61000</v>
      </c>
    </row>
    <row r="111" spans="1:3" ht="31.5" customHeight="1" x14ac:dyDescent="0.2">
      <c r="A111" s="473" t="s">
        <v>314</v>
      </c>
      <c r="B111" s="474"/>
      <c r="C111" s="474"/>
    </row>
    <row r="112" spans="1:3" s="270" customFormat="1" ht="14.25" x14ac:dyDescent="0.2">
      <c r="A112" s="264"/>
      <c r="B112" s="265" t="s">
        <v>301</v>
      </c>
      <c r="C112" s="266">
        <v>9500</v>
      </c>
    </row>
    <row r="113" spans="1:3" ht="15" x14ac:dyDescent="0.2">
      <c r="B113" s="261" t="s">
        <v>395</v>
      </c>
      <c r="C113" s="262">
        <v>3500</v>
      </c>
    </row>
    <row r="114" spans="1:3" ht="15" x14ac:dyDescent="0.2">
      <c r="B114" s="261" t="s">
        <v>394</v>
      </c>
      <c r="C114" s="262">
        <v>3500</v>
      </c>
    </row>
    <row r="115" spans="1:3" ht="15" x14ac:dyDescent="0.2">
      <c r="B115" s="261" t="s">
        <v>392</v>
      </c>
      <c r="C115" s="262">
        <v>2500</v>
      </c>
    </row>
    <row r="117" spans="1:3" ht="31.5" customHeight="1" x14ac:dyDescent="0.2">
      <c r="A117" s="473" t="s">
        <v>417</v>
      </c>
      <c r="B117" s="474"/>
      <c r="C117" s="474"/>
    </row>
    <row r="118" spans="1:3" s="270" customFormat="1" ht="14.25" x14ac:dyDescent="0.2">
      <c r="A118" s="264"/>
      <c r="B118" s="265" t="s">
        <v>301</v>
      </c>
      <c r="C118" s="266">
        <v>15000</v>
      </c>
    </row>
    <row r="119" spans="1:3" ht="15" x14ac:dyDescent="0.2">
      <c r="B119" s="261" t="s">
        <v>393</v>
      </c>
      <c r="C119" s="262">
        <v>15000</v>
      </c>
    </row>
    <row r="121" spans="1:3" ht="31.5" customHeight="1" x14ac:dyDescent="0.2">
      <c r="A121" s="473" t="s">
        <v>609</v>
      </c>
      <c r="B121" s="474"/>
      <c r="C121" s="474"/>
    </row>
    <row r="122" spans="1:3" s="270" customFormat="1" ht="14.25" x14ac:dyDescent="0.2">
      <c r="A122" s="264"/>
      <c r="B122" s="265" t="s">
        <v>301</v>
      </c>
      <c r="C122" s="266">
        <v>5182</v>
      </c>
    </row>
    <row r="123" spans="1:3" ht="15" x14ac:dyDescent="0.2">
      <c r="B123" s="261" t="s">
        <v>395</v>
      </c>
      <c r="C123" s="262">
        <v>500</v>
      </c>
    </row>
    <row r="124" spans="1:3" ht="15" x14ac:dyDescent="0.2">
      <c r="B124" s="261" t="s">
        <v>394</v>
      </c>
      <c r="C124" s="262">
        <v>3375</v>
      </c>
    </row>
    <row r="125" spans="1:3" ht="15" x14ac:dyDescent="0.2">
      <c r="B125" s="261" t="s">
        <v>393</v>
      </c>
      <c r="C125" s="262">
        <v>1307</v>
      </c>
    </row>
    <row r="127" spans="1:3" ht="31.5" customHeight="1" x14ac:dyDescent="0.2">
      <c r="A127" s="473" t="s">
        <v>859</v>
      </c>
      <c r="B127" s="474"/>
      <c r="C127" s="474"/>
    </row>
    <row r="128" spans="1:3" s="270" customFormat="1" ht="14.25" x14ac:dyDescent="0.2">
      <c r="A128" s="264"/>
      <c r="B128" s="265" t="s">
        <v>301</v>
      </c>
      <c r="C128" s="266">
        <v>147607</v>
      </c>
    </row>
    <row r="129" spans="1:3" ht="15" x14ac:dyDescent="0.2">
      <c r="B129" s="261" t="s">
        <v>395</v>
      </c>
      <c r="C129" s="262">
        <v>13220</v>
      </c>
    </row>
    <row r="130" spans="1:3" ht="15" x14ac:dyDescent="0.2">
      <c r="B130" s="261" t="s">
        <v>394</v>
      </c>
      <c r="C130" s="262">
        <v>134387</v>
      </c>
    </row>
    <row r="132" spans="1:3" ht="15.75" customHeight="1" x14ac:dyDescent="0.2">
      <c r="A132" s="473" t="s">
        <v>324</v>
      </c>
      <c r="B132" s="474"/>
      <c r="C132" s="474"/>
    </row>
    <row r="133" spans="1:3" s="270" customFormat="1" ht="14.25" x14ac:dyDescent="0.2">
      <c r="A133" s="264"/>
      <c r="B133" s="265" t="s">
        <v>301</v>
      </c>
      <c r="C133" s="266">
        <v>555321</v>
      </c>
    </row>
    <row r="134" spans="1:3" ht="15" x14ac:dyDescent="0.2">
      <c r="B134" s="261" t="s">
        <v>395</v>
      </c>
      <c r="C134" s="262">
        <v>47809</v>
      </c>
    </row>
    <row r="135" spans="1:3" ht="15" x14ac:dyDescent="0.2">
      <c r="B135" s="261" t="s">
        <v>394</v>
      </c>
      <c r="C135" s="262">
        <v>467512</v>
      </c>
    </row>
    <row r="136" spans="1:3" ht="15" x14ac:dyDescent="0.2">
      <c r="B136" s="261" t="s">
        <v>393</v>
      </c>
      <c r="C136" s="262">
        <v>3000</v>
      </c>
    </row>
    <row r="137" spans="1:3" ht="15" x14ac:dyDescent="0.2">
      <c r="B137" s="261" t="s">
        <v>392</v>
      </c>
      <c r="C137" s="262">
        <v>27000</v>
      </c>
    </row>
    <row r="138" spans="1:3" ht="15" x14ac:dyDescent="0.2">
      <c r="B138" s="261" t="s">
        <v>391</v>
      </c>
      <c r="C138" s="262">
        <v>10000</v>
      </c>
    </row>
    <row r="140" spans="1:3" ht="31.5" customHeight="1" x14ac:dyDescent="0.2">
      <c r="A140" s="473" t="s">
        <v>697</v>
      </c>
      <c r="B140" s="474"/>
      <c r="C140" s="474"/>
    </row>
    <row r="141" spans="1:3" s="270" customFormat="1" ht="14.25" x14ac:dyDescent="0.2">
      <c r="A141" s="264"/>
      <c r="B141" s="265" t="s">
        <v>301</v>
      </c>
      <c r="C141" s="266">
        <v>1266648</v>
      </c>
    </row>
    <row r="142" spans="1:3" ht="15" x14ac:dyDescent="0.2">
      <c r="B142" s="261" t="s">
        <v>392</v>
      </c>
      <c r="C142" s="262">
        <v>1266648</v>
      </c>
    </row>
    <row r="144" spans="1:3" ht="31.5" customHeight="1" x14ac:dyDescent="0.2">
      <c r="A144" s="473" t="s">
        <v>610</v>
      </c>
      <c r="B144" s="474"/>
      <c r="C144" s="474"/>
    </row>
    <row r="145" spans="1:3" s="270" customFormat="1" ht="14.25" x14ac:dyDescent="0.2">
      <c r="A145" s="264"/>
      <c r="B145" s="265" t="s">
        <v>301</v>
      </c>
      <c r="C145" s="266">
        <v>2237801</v>
      </c>
    </row>
    <row r="146" spans="1:3" ht="15" x14ac:dyDescent="0.2">
      <c r="B146" s="261" t="s">
        <v>392</v>
      </c>
      <c r="C146" s="262">
        <v>2237801</v>
      </c>
    </row>
    <row r="148" spans="1:3" ht="47.25" customHeight="1" x14ac:dyDescent="0.2">
      <c r="A148" s="473" t="s">
        <v>611</v>
      </c>
      <c r="B148" s="474"/>
      <c r="C148" s="474"/>
    </row>
    <row r="149" spans="1:3" s="270" customFormat="1" ht="14.25" x14ac:dyDescent="0.2">
      <c r="A149" s="264"/>
      <c r="B149" s="265" t="s">
        <v>301</v>
      </c>
      <c r="C149" s="266">
        <v>220534</v>
      </c>
    </row>
    <row r="150" spans="1:3" ht="15" x14ac:dyDescent="0.2">
      <c r="B150" s="261" t="s">
        <v>394</v>
      </c>
      <c r="C150" s="262">
        <v>3300</v>
      </c>
    </row>
    <row r="151" spans="1:3" ht="30" x14ac:dyDescent="0.2">
      <c r="B151" s="261" t="s">
        <v>390</v>
      </c>
      <c r="C151" s="262">
        <v>217234</v>
      </c>
    </row>
    <row r="153" spans="1:3" ht="31.5" customHeight="1" x14ac:dyDescent="0.2">
      <c r="A153" s="473" t="s">
        <v>698</v>
      </c>
      <c r="B153" s="474"/>
      <c r="C153" s="474"/>
    </row>
    <row r="154" spans="1:3" s="270" customFormat="1" ht="14.25" x14ac:dyDescent="0.2">
      <c r="A154" s="264"/>
      <c r="B154" s="265" t="s">
        <v>301</v>
      </c>
      <c r="C154" s="266">
        <v>2057706</v>
      </c>
    </row>
    <row r="155" spans="1:3" ht="15" x14ac:dyDescent="0.2">
      <c r="B155" s="261" t="s">
        <v>392</v>
      </c>
      <c r="C155" s="262">
        <v>2057706</v>
      </c>
    </row>
    <row r="157" spans="1:3" ht="47.25" customHeight="1" x14ac:dyDescent="0.2">
      <c r="A157" s="473" t="s">
        <v>786</v>
      </c>
      <c r="B157" s="474"/>
      <c r="C157" s="474"/>
    </row>
    <row r="158" spans="1:3" s="270" customFormat="1" ht="14.25" x14ac:dyDescent="0.2">
      <c r="A158" s="264"/>
      <c r="B158" s="265" t="s">
        <v>301</v>
      </c>
      <c r="C158" s="266">
        <v>462856</v>
      </c>
    </row>
    <row r="159" spans="1:3" ht="15" x14ac:dyDescent="0.2">
      <c r="B159" s="261" t="s">
        <v>394</v>
      </c>
      <c r="C159" s="262">
        <v>15856</v>
      </c>
    </row>
    <row r="160" spans="1:3" ht="15" x14ac:dyDescent="0.2">
      <c r="B160" s="261" t="s">
        <v>392</v>
      </c>
      <c r="C160" s="262">
        <v>447000</v>
      </c>
    </row>
    <row r="162" spans="1:3" ht="15.75" customHeight="1" x14ac:dyDescent="0.2">
      <c r="A162" s="473" t="s">
        <v>612</v>
      </c>
      <c r="B162" s="474"/>
      <c r="C162" s="474"/>
    </row>
    <row r="163" spans="1:3" s="270" customFormat="1" ht="14.25" x14ac:dyDescent="0.2">
      <c r="A163" s="264"/>
      <c r="B163" s="265" t="s">
        <v>301</v>
      </c>
      <c r="C163" s="266">
        <v>64370</v>
      </c>
    </row>
    <row r="164" spans="1:3" ht="15" x14ac:dyDescent="0.2">
      <c r="B164" s="261" t="s">
        <v>395</v>
      </c>
      <c r="C164" s="262">
        <v>22495</v>
      </c>
    </row>
    <row r="165" spans="1:3" ht="15" x14ac:dyDescent="0.2">
      <c r="B165" s="261" t="s">
        <v>394</v>
      </c>
      <c r="C165" s="262">
        <v>41875</v>
      </c>
    </row>
    <row r="167" spans="1:3" ht="15.75" customHeight="1" x14ac:dyDescent="0.2">
      <c r="A167" s="473" t="s">
        <v>787</v>
      </c>
      <c r="B167" s="474"/>
      <c r="C167" s="474"/>
    </row>
    <row r="168" spans="1:3" s="270" customFormat="1" ht="14.25" x14ac:dyDescent="0.2">
      <c r="A168" s="264"/>
      <c r="B168" s="265" t="s">
        <v>301</v>
      </c>
      <c r="C168" s="266">
        <v>500</v>
      </c>
    </row>
    <row r="169" spans="1:3" ht="15" x14ac:dyDescent="0.2">
      <c r="B169" s="261" t="s">
        <v>395</v>
      </c>
      <c r="C169" s="262">
        <v>500</v>
      </c>
    </row>
    <row r="171" spans="1:3" ht="15.75" customHeight="1" x14ac:dyDescent="0.2">
      <c r="A171" s="473" t="s">
        <v>788</v>
      </c>
      <c r="B171" s="474"/>
      <c r="C171" s="474"/>
    </row>
    <row r="172" spans="1:3" s="270" customFormat="1" ht="14.25" x14ac:dyDescent="0.2">
      <c r="A172" s="264"/>
      <c r="B172" s="265" t="s">
        <v>301</v>
      </c>
      <c r="C172" s="266">
        <v>4300</v>
      </c>
    </row>
    <row r="173" spans="1:3" ht="15" x14ac:dyDescent="0.2">
      <c r="B173" s="261" t="s">
        <v>395</v>
      </c>
      <c r="C173" s="262">
        <v>3008</v>
      </c>
    </row>
    <row r="174" spans="1:3" ht="15" x14ac:dyDescent="0.2">
      <c r="B174" s="261" t="s">
        <v>394</v>
      </c>
      <c r="C174" s="262">
        <v>1292</v>
      </c>
    </row>
    <row r="176" spans="1:3" ht="15.75" customHeight="1" x14ac:dyDescent="0.2">
      <c r="A176" s="473" t="s">
        <v>613</v>
      </c>
      <c r="B176" s="474"/>
      <c r="C176" s="474"/>
    </row>
    <row r="177" spans="1:3" s="270" customFormat="1" ht="14.25" x14ac:dyDescent="0.2">
      <c r="A177" s="264"/>
      <c r="B177" s="265" t="s">
        <v>301</v>
      </c>
      <c r="C177" s="266">
        <v>277255</v>
      </c>
    </row>
    <row r="178" spans="1:3" ht="15" x14ac:dyDescent="0.2">
      <c r="B178" s="261" t="s">
        <v>395</v>
      </c>
      <c r="C178" s="262">
        <v>57984</v>
      </c>
    </row>
    <row r="179" spans="1:3" ht="15" x14ac:dyDescent="0.2">
      <c r="B179" s="261" t="s">
        <v>394</v>
      </c>
      <c r="C179" s="262">
        <v>216271</v>
      </c>
    </row>
    <row r="180" spans="1:3" ht="30" x14ac:dyDescent="0.2">
      <c r="B180" s="261" t="s">
        <v>390</v>
      </c>
      <c r="C180" s="262">
        <v>3000</v>
      </c>
    </row>
    <row r="182" spans="1:3" ht="24.75" customHeight="1" x14ac:dyDescent="0.2">
      <c r="A182" s="473" t="s">
        <v>614</v>
      </c>
      <c r="B182" s="474"/>
      <c r="C182" s="474"/>
    </row>
    <row r="183" spans="1:3" s="270" customFormat="1" ht="14.25" x14ac:dyDescent="0.2">
      <c r="A183" s="264"/>
      <c r="B183" s="265" t="s">
        <v>301</v>
      </c>
      <c r="C183" s="266">
        <v>3509581</v>
      </c>
    </row>
    <row r="184" spans="1:3" ht="15" x14ac:dyDescent="0.2">
      <c r="B184" s="261" t="s">
        <v>394</v>
      </c>
      <c r="C184" s="262">
        <v>51992</v>
      </c>
    </row>
    <row r="185" spans="1:3" ht="15" x14ac:dyDescent="0.2">
      <c r="B185" s="261" t="s">
        <v>392</v>
      </c>
      <c r="C185" s="262">
        <v>3457589</v>
      </c>
    </row>
    <row r="187" spans="1:3" ht="31.5" customHeight="1" x14ac:dyDescent="0.2">
      <c r="A187" s="473" t="s">
        <v>789</v>
      </c>
      <c r="B187" s="474"/>
      <c r="C187" s="474"/>
    </row>
    <row r="188" spans="1:3" s="270" customFormat="1" ht="14.25" x14ac:dyDescent="0.2">
      <c r="A188" s="264"/>
      <c r="B188" s="265" t="s">
        <v>301</v>
      </c>
      <c r="C188" s="266">
        <v>576430</v>
      </c>
    </row>
    <row r="189" spans="1:3" ht="15" x14ac:dyDescent="0.2">
      <c r="B189" s="261" t="s">
        <v>392</v>
      </c>
      <c r="C189" s="262">
        <v>576430</v>
      </c>
    </row>
    <row r="190" spans="1:3" ht="24" customHeight="1" x14ac:dyDescent="0.2"/>
    <row r="191" spans="1:3" ht="15.75" customHeight="1" x14ac:dyDescent="0.2">
      <c r="A191" s="475" t="s">
        <v>416</v>
      </c>
      <c r="B191" s="476"/>
      <c r="C191" s="476"/>
    </row>
    <row r="192" spans="1:3" ht="14.25" x14ac:dyDescent="0.2">
      <c r="A192" s="267"/>
      <c r="B192" s="268" t="s">
        <v>301</v>
      </c>
      <c r="C192" s="269">
        <f>5021501+30000</f>
        <v>5051501</v>
      </c>
    </row>
    <row r="193" spans="1:3" ht="14.25" x14ac:dyDescent="0.2">
      <c r="A193" s="267"/>
      <c r="B193" s="268" t="s">
        <v>394</v>
      </c>
      <c r="C193" s="269">
        <v>855356</v>
      </c>
    </row>
    <row r="194" spans="1:3" ht="14.25" x14ac:dyDescent="0.2">
      <c r="A194" s="267"/>
      <c r="B194" s="268" t="s">
        <v>393</v>
      </c>
      <c r="C194" s="269">
        <f>4116145+30000</f>
        <v>4146145</v>
      </c>
    </row>
    <row r="195" spans="1:3" ht="14.25" x14ac:dyDescent="0.2">
      <c r="A195" s="267"/>
      <c r="B195" s="268" t="s">
        <v>699</v>
      </c>
      <c r="C195" s="269">
        <v>50000</v>
      </c>
    </row>
    <row r="197" spans="1:3" ht="15.75" customHeight="1" x14ac:dyDescent="0.2">
      <c r="A197" s="473" t="s">
        <v>415</v>
      </c>
      <c r="B197" s="474"/>
      <c r="C197" s="474"/>
    </row>
    <row r="198" spans="1:3" s="270" customFormat="1" ht="14.25" x14ac:dyDescent="0.2">
      <c r="A198" s="264"/>
      <c r="B198" s="265" t="s">
        <v>301</v>
      </c>
      <c r="C198" s="266">
        <v>9154</v>
      </c>
    </row>
    <row r="199" spans="1:3" ht="15" x14ac:dyDescent="0.2">
      <c r="B199" s="261" t="s">
        <v>394</v>
      </c>
      <c r="C199" s="262">
        <v>9154</v>
      </c>
    </row>
    <row r="201" spans="1:3" ht="15.75" customHeight="1" x14ac:dyDescent="0.2">
      <c r="A201" s="473" t="s">
        <v>790</v>
      </c>
      <c r="B201" s="474"/>
      <c r="C201" s="474"/>
    </row>
    <row r="202" spans="1:3" s="270" customFormat="1" ht="14.25" x14ac:dyDescent="0.2">
      <c r="A202" s="264"/>
      <c r="B202" s="265" t="s">
        <v>301</v>
      </c>
      <c r="C202" s="266">
        <v>301490</v>
      </c>
    </row>
    <row r="203" spans="1:3" ht="15" x14ac:dyDescent="0.2">
      <c r="B203" s="261" t="s">
        <v>394</v>
      </c>
      <c r="C203" s="262">
        <v>251490</v>
      </c>
    </row>
    <row r="204" spans="1:3" ht="15" x14ac:dyDescent="0.2">
      <c r="B204" s="261" t="s">
        <v>699</v>
      </c>
      <c r="C204" s="262">
        <v>50000</v>
      </c>
    </row>
    <row r="206" spans="1:3" ht="15.75" customHeight="1" x14ac:dyDescent="0.2">
      <c r="A206" s="473" t="s">
        <v>306</v>
      </c>
      <c r="B206" s="474"/>
      <c r="C206" s="474"/>
    </row>
    <row r="207" spans="1:3" s="270" customFormat="1" ht="14.25" x14ac:dyDescent="0.2">
      <c r="A207" s="264"/>
      <c r="B207" s="265" t="s">
        <v>301</v>
      </c>
      <c r="C207" s="266">
        <v>500000</v>
      </c>
    </row>
    <row r="208" spans="1:3" ht="15" x14ac:dyDescent="0.2">
      <c r="B208" s="261" t="s">
        <v>394</v>
      </c>
      <c r="C208" s="262">
        <v>500000</v>
      </c>
    </row>
    <row r="210" spans="1:3" ht="33" customHeight="1" x14ac:dyDescent="0.2">
      <c r="A210" s="473" t="s">
        <v>863</v>
      </c>
      <c r="B210" s="474"/>
      <c r="C210" s="474"/>
    </row>
    <row r="211" spans="1:3" s="270" customFormat="1" ht="14.25" x14ac:dyDescent="0.2">
      <c r="A211" s="264"/>
      <c r="B211" s="265" t="s">
        <v>301</v>
      </c>
      <c r="C211" s="266">
        <v>3005974</v>
      </c>
    </row>
    <row r="212" spans="1:3" ht="15" x14ac:dyDescent="0.2">
      <c r="B212" s="261" t="s">
        <v>393</v>
      </c>
      <c r="C212" s="262">
        <v>3005974</v>
      </c>
    </row>
    <row r="213" spans="1:3" ht="11.25" customHeight="1" x14ac:dyDescent="0.2"/>
    <row r="214" spans="1:3" ht="31.5" customHeight="1" x14ac:dyDescent="0.2">
      <c r="A214" s="473" t="s">
        <v>791</v>
      </c>
      <c r="B214" s="474"/>
      <c r="C214" s="474"/>
    </row>
    <row r="215" spans="1:3" s="270" customFormat="1" ht="14.25" x14ac:dyDescent="0.2">
      <c r="A215" s="264"/>
      <c r="B215" s="265" t="s">
        <v>301</v>
      </c>
      <c r="C215" s="266">
        <v>100000</v>
      </c>
    </row>
    <row r="216" spans="1:3" ht="15" x14ac:dyDescent="0.2">
      <c r="B216" s="261" t="s">
        <v>393</v>
      </c>
      <c r="C216" s="262">
        <v>100000</v>
      </c>
    </row>
    <row r="217" spans="1:3" ht="10.5" customHeight="1" x14ac:dyDescent="0.2"/>
    <row r="218" spans="1:3" ht="15.75" customHeight="1" x14ac:dyDescent="0.2">
      <c r="A218" s="473" t="s">
        <v>806</v>
      </c>
      <c r="B218" s="474"/>
      <c r="C218" s="474"/>
    </row>
    <row r="219" spans="1:3" s="270" customFormat="1" ht="14.25" x14ac:dyDescent="0.2">
      <c r="A219" s="264"/>
      <c r="B219" s="265" t="s">
        <v>301</v>
      </c>
      <c r="C219" s="266">
        <v>566905</v>
      </c>
    </row>
    <row r="220" spans="1:3" ht="15" x14ac:dyDescent="0.2">
      <c r="B220" s="261" t="s">
        <v>393</v>
      </c>
      <c r="C220" s="262">
        <v>566905</v>
      </c>
    </row>
    <row r="222" spans="1:3" ht="26.25" customHeight="1" x14ac:dyDescent="0.2">
      <c r="A222" s="473" t="s">
        <v>865</v>
      </c>
      <c r="B222" s="474"/>
      <c r="C222" s="474"/>
    </row>
    <row r="223" spans="1:3" s="270" customFormat="1" ht="14.25" x14ac:dyDescent="0.2">
      <c r="A223" s="264"/>
      <c r="B223" s="265" t="s">
        <v>301</v>
      </c>
      <c r="C223" s="266">
        <f>105000+30000</f>
        <v>135000</v>
      </c>
    </row>
    <row r="224" spans="1:3" ht="15" x14ac:dyDescent="0.2">
      <c r="B224" s="261" t="s">
        <v>393</v>
      </c>
      <c r="C224" s="262">
        <f>105000+30000</f>
        <v>135000</v>
      </c>
    </row>
    <row r="226" spans="1:3" x14ac:dyDescent="0.2">
      <c r="A226" s="473" t="s">
        <v>807</v>
      </c>
      <c r="B226" s="474"/>
      <c r="C226" s="474"/>
    </row>
    <row r="227" spans="1:3" s="270" customFormat="1" ht="14.25" x14ac:dyDescent="0.2">
      <c r="A227" s="264"/>
      <c r="B227" s="265" t="s">
        <v>301</v>
      </c>
      <c r="C227" s="266">
        <v>212366</v>
      </c>
    </row>
    <row r="228" spans="1:3" ht="15" x14ac:dyDescent="0.2">
      <c r="B228" s="261" t="s">
        <v>393</v>
      </c>
      <c r="C228" s="262">
        <v>212366</v>
      </c>
    </row>
    <row r="230" spans="1:3" ht="15.75" customHeight="1" x14ac:dyDescent="0.2">
      <c r="A230" s="473" t="s">
        <v>615</v>
      </c>
      <c r="B230" s="474"/>
      <c r="C230" s="474"/>
    </row>
    <row r="231" spans="1:3" s="270" customFormat="1" ht="14.25" x14ac:dyDescent="0.2">
      <c r="A231" s="264"/>
      <c r="B231" s="265" t="s">
        <v>301</v>
      </c>
      <c r="C231" s="266">
        <v>7000</v>
      </c>
    </row>
    <row r="232" spans="1:3" ht="15" x14ac:dyDescent="0.2">
      <c r="B232" s="261" t="s">
        <v>393</v>
      </c>
      <c r="C232" s="262">
        <v>7000</v>
      </c>
    </row>
    <row r="234" spans="1:3" ht="15.75" customHeight="1" x14ac:dyDescent="0.2">
      <c r="A234" s="473" t="s">
        <v>616</v>
      </c>
      <c r="B234" s="474"/>
      <c r="C234" s="474"/>
    </row>
    <row r="235" spans="1:3" s="270" customFormat="1" ht="14.25" x14ac:dyDescent="0.2">
      <c r="A235" s="264"/>
      <c r="B235" s="265" t="s">
        <v>301</v>
      </c>
      <c r="C235" s="266">
        <v>5000</v>
      </c>
    </row>
    <row r="236" spans="1:3" ht="15" x14ac:dyDescent="0.2">
      <c r="B236" s="261" t="s">
        <v>393</v>
      </c>
      <c r="C236" s="262">
        <v>5000</v>
      </c>
    </row>
    <row r="238" spans="1:3" ht="15.75" customHeight="1" x14ac:dyDescent="0.2">
      <c r="A238" s="473" t="s">
        <v>325</v>
      </c>
      <c r="B238" s="474"/>
      <c r="C238" s="474"/>
    </row>
    <row r="239" spans="1:3" s="270" customFormat="1" ht="14.25" x14ac:dyDescent="0.2">
      <c r="A239" s="264"/>
      <c r="B239" s="265" t="s">
        <v>301</v>
      </c>
      <c r="C239" s="266">
        <v>101000</v>
      </c>
    </row>
    <row r="240" spans="1:3" ht="15" x14ac:dyDescent="0.2">
      <c r="B240" s="261" t="s">
        <v>393</v>
      </c>
      <c r="C240" s="262">
        <v>101000</v>
      </c>
    </row>
    <row r="242" spans="1:3" ht="15.75" customHeight="1" x14ac:dyDescent="0.2">
      <c r="A242" s="473" t="s">
        <v>617</v>
      </c>
      <c r="B242" s="474"/>
      <c r="C242" s="474"/>
    </row>
    <row r="243" spans="1:3" s="270" customFormat="1" ht="14.25" x14ac:dyDescent="0.2">
      <c r="A243" s="264"/>
      <c r="B243" s="265" t="s">
        <v>301</v>
      </c>
      <c r="C243" s="266">
        <v>4300</v>
      </c>
    </row>
    <row r="244" spans="1:3" ht="15" x14ac:dyDescent="0.2">
      <c r="B244" s="261" t="s">
        <v>393</v>
      </c>
      <c r="C244" s="262">
        <v>4300</v>
      </c>
    </row>
    <row r="246" spans="1:3" ht="15.75" customHeight="1" x14ac:dyDescent="0.2">
      <c r="A246" s="473" t="s">
        <v>618</v>
      </c>
      <c r="B246" s="474"/>
      <c r="C246" s="474"/>
    </row>
    <row r="247" spans="1:3" s="270" customFormat="1" ht="14.25" x14ac:dyDescent="0.2">
      <c r="A247" s="264"/>
      <c r="B247" s="265" t="s">
        <v>301</v>
      </c>
      <c r="C247" s="266">
        <v>94712</v>
      </c>
    </row>
    <row r="248" spans="1:3" ht="15" x14ac:dyDescent="0.2">
      <c r="B248" s="261" t="s">
        <v>394</v>
      </c>
      <c r="C248" s="262">
        <v>94712</v>
      </c>
    </row>
    <row r="250" spans="1:3" ht="15.75" customHeight="1" x14ac:dyDescent="0.2">
      <c r="A250" s="473" t="s">
        <v>619</v>
      </c>
      <c r="B250" s="474"/>
      <c r="C250" s="474"/>
    </row>
    <row r="251" spans="1:3" s="270" customFormat="1" ht="14.25" x14ac:dyDescent="0.2">
      <c r="A251" s="264"/>
      <c r="B251" s="265" t="s">
        <v>301</v>
      </c>
      <c r="C251" s="266">
        <v>6000</v>
      </c>
    </row>
    <row r="252" spans="1:3" ht="15" x14ac:dyDescent="0.2">
      <c r="B252" s="261" t="s">
        <v>393</v>
      </c>
      <c r="C252" s="262">
        <v>6000</v>
      </c>
    </row>
    <row r="254" spans="1:3" ht="15.75" customHeight="1" x14ac:dyDescent="0.2">
      <c r="A254" s="473" t="s">
        <v>620</v>
      </c>
      <c r="B254" s="474"/>
      <c r="C254" s="474"/>
    </row>
    <row r="255" spans="1:3" s="270" customFormat="1" ht="14.25" x14ac:dyDescent="0.2">
      <c r="A255" s="264"/>
      <c r="B255" s="265" t="s">
        <v>301</v>
      </c>
      <c r="C255" s="266">
        <v>2600</v>
      </c>
    </row>
    <row r="256" spans="1:3" ht="15" x14ac:dyDescent="0.2">
      <c r="B256" s="261" t="s">
        <v>393</v>
      </c>
      <c r="C256" s="262">
        <v>2600</v>
      </c>
    </row>
    <row r="257" spans="1:3" ht="19.5" customHeight="1" x14ac:dyDescent="0.2"/>
    <row r="258" spans="1:3" ht="31.5" customHeight="1" x14ac:dyDescent="0.2">
      <c r="A258" s="475" t="s">
        <v>621</v>
      </c>
      <c r="B258" s="476"/>
      <c r="C258" s="476"/>
    </row>
    <row r="259" spans="1:3" ht="14.25" x14ac:dyDescent="0.2">
      <c r="A259" s="267"/>
      <c r="B259" s="268" t="s">
        <v>301</v>
      </c>
      <c r="C259" s="269">
        <v>283446</v>
      </c>
    </row>
    <row r="260" spans="1:3" ht="14.25" x14ac:dyDescent="0.2">
      <c r="A260" s="267"/>
      <c r="B260" s="268" t="s">
        <v>395</v>
      </c>
      <c r="C260" s="269">
        <v>268449</v>
      </c>
    </row>
    <row r="261" spans="1:3" ht="14.25" x14ac:dyDescent="0.2">
      <c r="A261" s="267"/>
      <c r="B261" s="268" t="s">
        <v>394</v>
      </c>
      <c r="C261" s="269">
        <v>11997</v>
      </c>
    </row>
    <row r="262" spans="1:3" ht="14.25" x14ac:dyDescent="0.2">
      <c r="A262" s="267"/>
      <c r="B262" s="268" t="s">
        <v>392</v>
      </c>
      <c r="C262" s="269">
        <v>3000</v>
      </c>
    </row>
    <row r="264" spans="1:3" ht="15.75" customHeight="1" x14ac:dyDescent="0.2">
      <c r="A264" s="473" t="s">
        <v>414</v>
      </c>
      <c r="B264" s="474"/>
      <c r="C264" s="474"/>
    </row>
    <row r="265" spans="1:3" s="270" customFormat="1" ht="14.25" x14ac:dyDescent="0.2">
      <c r="A265" s="264"/>
      <c r="B265" s="265" t="s">
        <v>301</v>
      </c>
      <c r="C265" s="266">
        <v>283446</v>
      </c>
    </row>
    <row r="266" spans="1:3" ht="15" x14ac:dyDescent="0.2">
      <c r="B266" s="261" t="s">
        <v>395</v>
      </c>
      <c r="C266" s="262">
        <v>268449</v>
      </c>
    </row>
    <row r="267" spans="1:3" ht="15" x14ac:dyDescent="0.2">
      <c r="B267" s="261" t="s">
        <v>394</v>
      </c>
      <c r="C267" s="262">
        <v>11997</v>
      </c>
    </row>
    <row r="268" spans="1:3" ht="15" x14ac:dyDescent="0.2">
      <c r="B268" s="261" t="s">
        <v>392</v>
      </c>
      <c r="C268" s="262">
        <v>3000</v>
      </c>
    </row>
    <row r="269" spans="1:3" ht="29.25" customHeight="1" x14ac:dyDescent="0.2"/>
    <row r="270" spans="1:3" ht="31.5" customHeight="1" x14ac:dyDescent="0.2">
      <c r="A270" s="475" t="s">
        <v>622</v>
      </c>
      <c r="B270" s="476"/>
      <c r="C270" s="476"/>
    </row>
    <row r="271" spans="1:3" ht="14.25" x14ac:dyDescent="0.2">
      <c r="A271" s="267"/>
      <c r="B271" s="268" t="s">
        <v>301</v>
      </c>
      <c r="C271" s="269">
        <v>3191220</v>
      </c>
    </row>
    <row r="272" spans="1:3" ht="14.25" x14ac:dyDescent="0.2">
      <c r="A272" s="267"/>
      <c r="B272" s="268" t="s">
        <v>395</v>
      </c>
      <c r="C272" s="269">
        <v>2807657</v>
      </c>
    </row>
    <row r="273" spans="1:3" ht="14.25" x14ac:dyDescent="0.2">
      <c r="A273" s="267"/>
      <c r="B273" s="268" t="s">
        <v>394</v>
      </c>
      <c r="C273" s="269">
        <v>335996</v>
      </c>
    </row>
    <row r="274" spans="1:3" ht="14.25" x14ac:dyDescent="0.2">
      <c r="A274" s="267"/>
      <c r="B274" s="268" t="s">
        <v>392</v>
      </c>
      <c r="C274" s="269">
        <v>45067</v>
      </c>
    </row>
    <row r="275" spans="1:3" ht="14.25" x14ac:dyDescent="0.2">
      <c r="A275" s="267"/>
      <c r="B275" s="268" t="s">
        <v>391</v>
      </c>
      <c r="C275" s="269">
        <v>2500</v>
      </c>
    </row>
    <row r="276" spans="1:3" ht="16.5" customHeight="1" x14ac:dyDescent="0.2"/>
    <row r="277" spans="1:3" ht="15.75" customHeight="1" x14ac:dyDescent="0.2">
      <c r="A277" s="473" t="s">
        <v>413</v>
      </c>
      <c r="B277" s="474"/>
      <c r="C277" s="474"/>
    </row>
    <row r="278" spans="1:3" s="270" customFormat="1" ht="14.25" x14ac:dyDescent="0.2">
      <c r="A278" s="264"/>
      <c r="B278" s="265" t="s">
        <v>301</v>
      </c>
      <c r="C278" s="266">
        <v>3191220</v>
      </c>
    </row>
    <row r="279" spans="1:3" ht="15" x14ac:dyDescent="0.2">
      <c r="B279" s="261" t="s">
        <v>395</v>
      </c>
      <c r="C279" s="262">
        <v>2807657</v>
      </c>
    </row>
    <row r="280" spans="1:3" ht="15" x14ac:dyDescent="0.2">
      <c r="B280" s="261" t="s">
        <v>394</v>
      </c>
      <c r="C280" s="262">
        <v>335996</v>
      </c>
    </row>
    <row r="281" spans="1:3" ht="15" x14ac:dyDescent="0.2">
      <c r="B281" s="261" t="s">
        <v>392</v>
      </c>
      <c r="C281" s="262">
        <v>45067</v>
      </c>
    </row>
    <row r="282" spans="1:3" ht="15" x14ac:dyDescent="0.2">
      <c r="B282" s="261" t="s">
        <v>391</v>
      </c>
      <c r="C282" s="262">
        <v>2500</v>
      </c>
    </row>
    <row r="283" spans="1:3" ht="24.75" customHeight="1" x14ac:dyDescent="0.2"/>
    <row r="284" spans="1:3" ht="31.5" customHeight="1" x14ac:dyDescent="0.2">
      <c r="A284" s="475" t="s">
        <v>623</v>
      </c>
      <c r="B284" s="477"/>
      <c r="C284" s="477"/>
    </row>
    <row r="285" spans="1:3" ht="14.25" x14ac:dyDescent="0.2">
      <c r="A285" s="267"/>
      <c r="B285" s="268" t="s">
        <v>301</v>
      </c>
      <c r="C285" s="269">
        <v>400341</v>
      </c>
    </row>
    <row r="286" spans="1:3" ht="14.25" x14ac:dyDescent="0.2">
      <c r="A286" s="267"/>
      <c r="B286" s="268" t="s">
        <v>395</v>
      </c>
      <c r="C286" s="269">
        <v>272298</v>
      </c>
    </row>
    <row r="287" spans="1:3" ht="14.25" x14ac:dyDescent="0.2">
      <c r="A287" s="267"/>
      <c r="B287" s="268" t="s">
        <v>394</v>
      </c>
      <c r="C287" s="269">
        <v>79100</v>
      </c>
    </row>
    <row r="288" spans="1:3" ht="14.25" x14ac:dyDescent="0.2">
      <c r="A288" s="267"/>
      <c r="B288" s="268" t="s">
        <v>392</v>
      </c>
      <c r="C288" s="269">
        <v>48469</v>
      </c>
    </row>
    <row r="289" spans="1:3" ht="28.5" x14ac:dyDescent="0.2">
      <c r="A289" s="267"/>
      <c r="B289" s="268" t="s">
        <v>390</v>
      </c>
      <c r="C289" s="269">
        <v>474</v>
      </c>
    </row>
    <row r="290" spans="1:3" ht="17.25" customHeight="1" x14ac:dyDescent="0.2"/>
    <row r="291" spans="1:3" ht="15.75" customHeight="1" x14ac:dyDescent="0.2">
      <c r="A291" s="473" t="s">
        <v>624</v>
      </c>
      <c r="B291" s="474"/>
      <c r="C291" s="474"/>
    </row>
    <row r="292" spans="1:3" s="270" customFormat="1" ht="14.25" x14ac:dyDescent="0.2">
      <c r="A292" s="264"/>
      <c r="B292" s="265" t="s">
        <v>301</v>
      </c>
      <c r="C292" s="266">
        <v>353672</v>
      </c>
    </row>
    <row r="293" spans="1:3" ht="15" x14ac:dyDescent="0.2">
      <c r="B293" s="261" t="s">
        <v>395</v>
      </c>
      <c r="C293" s="262">
        <v>272298</v>
      </c>
    </row>
    <row r="294" spans="1:3" ht="15" x14ac:dyDescent="0.2">
      <c r="B294" s="261" t="s">
        <v>394</v>
      </c>
      <c r="C294" s="262">
        <v>79100</v>
      </c>
    </row>
    <row r="295" spans="1:3" ht="15" x14ac:dyDescent="0.2">
      <c r="B295" s="261" t="s">
        <v>392</v>
      </c>
      <c r="C295" s="262">
        <v>1800</v>
      </c>
    </row>
    <row r="296" spans="1:3" ht="30" x14ac:dyDescent="0.2">
      <c r="B296" s="261" t="s">
        <v>390</v>
      </c>
      <c r="C296" s="262">
        <v>474</v>
      </c>
    </row>
    <row r="297" spans="1:3" ht="16.5" customHeight="1" x14ac:dyDescent="0.2"/>
    <row r="298" spans="1:3" ht="15.75" customHeight="1" x14ac:dyDescent="0.2">
      <c r="A298" s="473" t="s">
        <v>792</v>
      </c>
      <c r="B298" s="474"/>
      <c r="C298" s="474"/>
    </row>
    <row r="299" spans="1:3" s="270" customFormat="1" ht="14.25" x14ac:dyDescent="0.2">
      <c r="A299" s="264"/>
      <c r="B299" s="265" t="s">
        <v>301</v>
      </c>
      <c r="C299" s="266">
        <v>46669</v>
      </c>
    </row>
    <row r="300" spans="1:3" ht="15" x14ac:dyDescent="0.2">
      <c r="B300" s="261" t="s">
        <v>392</v>
      </c>
      <c r="C300" s="262">
        <v>46669</v>
      </c>
    </row>
    <row r="301" spans="1:3" ht="27" customHeight="1" x14ac:dyDescent="0.2"/>
    <row r="302" spans="1:3" ht="31.5" customHeight="1" x14ac:dyDescent="0.2">
      <c r="A302" s="475" t="s">
        <v>625</v>
      </c>
      <c r="B302" s="476"/>
      <c r="C302" s="476"/>
    </row>
    <row r="303" spans="1:3" ht="14.25" x14ac:dyDescent="0.2">
      <c r="A303" s="267"/>
      <c r="B303" s="268" t="s">
        <v>301</v>
      </c>
      <c r="C303" s="269">
        <v>428130</v>
      </c>
    </row>
    <row r="304" spans="1:3" ht="14.25" x14ac:dyDescent="0.2">
      <c r="A304" s="267"/>
      <c r="B304" s="268" t="s">
        <v>395</v>
      </c>
      <c r="C304" s="269">
        <v>282894</v>
      </c>
    </row>
    <row r="305" spans="1:3" ht="14.25" x14ac:dyDescent="0.2">
      <c r="A305" s="267"/>
      <c r="B305" s="268" t="s">
        <v>394</v>
      </c>
      <c r="C305" s="269">
        <v>139736</v>
      </c>
    </row>
    <row r="306" spans="1:3" ht="14.25" x14ac:dyDescent="0.2">
      <c r="A306" s="267"/>
      <c r="B306" s="268" t="s">
        <v>392</v>
      </c>
      <c r="C306" s="269">
        <v>5500</v>
      </c>
    </row>
    <row r="308" spans="1:3" ht="15.75" customHeight="1" x14ac:dyDescent="0.2">
      <c r="A308" s="473" t="s">
        <v>412</v>
      </c>
      <c r="B308" s="474"/>
      <c r="C308" s="474"/>
    </row>
    <row r="309" spans="1:3" s="270" customFormat="1" ht="14.25" x14ac:dyDescent="0.2">
      <c r="A309" s="264"/>
      <c r="B309" s="265" t="s">
        <v>301</v>
      </c>
      <c r="C309" s="266">
        <v>428130</v>
      </c>
    </row>
    <row r="310" spans="1:3" ht="15" x14ac:dyDescent="0.2">
      <c r="B310" s="261" t="s">
        <v>395</v>
      </c>
      <c r="C310" s="262">
        <v>282894</v>
      </c>
    </row>
    <row r="311" spans="1:3" ht="15" x14ac:dyDescent="0.2">
      <c r="B311" s="261" t="s">
        <v>394</v>
      </c>
      <c r="C311" s="262">
        <v>139736</v>
      </c>
    </row>
    <row r="312" spans="1:3" ht="15" x14ac:dyDescent="0.2">
      <c r="B312" s="261" t="s">
        <v>392</v>
      </c>
      <c r="C312" s="262">
        <v>5500</v>
      </c>
    </row>
    <row r="313" spans="1:3" ht="33" customHeight="1" x14ac:dyDescent="0.2"/>
    <row r="314" spans="1:3" ht="15.75" customHeight="1" x14ac:dyDescent="0.2">
      <c r="A314" s="475" t="s">
        <v>626</v>
      </c>
      <c r="B314" s="476"/>
      <c r="C314" s="476"/>
    </row>
    <row r="315" spans="1:3" ht="14.25" x14ac:dyDescent="0.2">
      <c r="A315" s="267"/>
      <c r="B315" s="268" t="s">
        <v>301</v>
      </c>
      <c r="C315" s="269">
        <v>7236593</v>
      </c>
    </row>
    <row r="316" spans="1:3" ht="14.25" x14ac:dyDescent="0.2">
      <c r="A316" s="267"/>
      <c r="B316" s="268" t="s">
        <v>395</v>
      </c>
      <c r="C316" s="269">
        <v>887061</v>
      </c>
    </row>
    <row r="317" spans="1:3" ht="14.25" x14ac:dyDescent="0.2">
      <c r="A317" s="267"/>
      <c r="B317" s="268" t="s">
        <v>394</v>
      </c>
      <c r="C317" s="269">
        <v>4691983</v>
      </c>
    </row>
    <row r="318" spans="1:3" ht="14.25" x14ac:dyDescent="0.2">
      <c r="A318" s="267"/>
      <c r="B318" s="268" t="s">
        <v>393</v>
      </c>
      <c r="C318" s="269">
        <v>130000</v>
      </c>
    </row>
    <row r="319" spans="1:3" ht="14.25" x14ac:dyDescent="0.2">
      <c r="A319" s="267"/>
      <c r="B319" s="268" t="s">
        <v>392</v>
      </c>
      <c r="C319" s="269">
        <v>1499469</v>
      </c>
    </row>
    <row r="320" spans="1:3" ht="14.25" x14ac:dyDescent="0.2">
      <c r="A320" s="267"/>
      <c r="B320" s="268" t="s">
        <v>391</v>
      </c>
      <c r="C320" s="269">
        <v>28080</v>
      </c>
    </row>
    <row r="322" spans="1:3" ht="31.5" customHeight="1" x14ac:dyDescent="0.2">
      <c r="A322" s="473" t="s">
        <v>307</v>
      </c>
      <c r="B322" s="474"/>
      <c r="C322" s="474"/>
    </row>
    <row r="323" spans="1:3" s="270" customFormat="1" ht="14.25" x14ac:dyDescent="0.2">
      <c r="A323" s="264"/>
      <c r="B323" s="265" t="s">
        <v>301</v>
      </c>
      <c r="C323" s="266">
        <v>1991655</v>
      </c>
    </row>
    <row r="324" spans="1:3" ht="15" x14ac:dyDescent="0.2">
      <c r="B324" s="261" t="s">
        <v>395</v>
      </c>
      <c r="C324" s="262">
        <v>70323</v>
      </c>
    </row>
    <row r="325" spans="1:3" ht="15" x14ac:dyDescent="0.2">
      <c r="B325" s="261" t="s">
        <v>394</v>
      </c>
      <c r="C325" s="262">
        <v>1227231</v>
      </c>
    </row>
    <row r="326" spans="1:3" ht="15" x14ac:dyDescent="0.2">
      <c r="B326" s="261" t="s">
        <v>392</v>
      </c>
      <c r="C326" s="262">
        <v>694101</v>
      </c>
    </row>
    <row r="328" spans="1:3" ht="15.75" customHeight="1" x14ac:dyDescent="0.2">
      <c r="A328" s="473" t="s">
        <v>309</v>
      </c>
      <c r="B328" s="474"/>
      <c r="C328" s="474"/>
    </row>
    <row r="329" spans="1:3" s="270" customFormat="1" ht="14.25" x14ac:dyDescent="0.2">
      <c r="A329" s="264"/>
      <c r="B329" s="265" t="s">
        <v>301</v>
      </c>
      <c r="C329" s="266">
        <v>1145704</v>
      </c>
    </row>
    <row r="330" spans="1:3" ht="15" x14ac:dyDescent="0.2">
      <c r="B330" s="261" t="s">
        <v>394</v>
      </c>
      <c r="C330" s="262">
        <v>1145704</v>
      </c>
    </row>
    <row r="332" spans="1:3" ht="15.75" customHeight="1" x14ac:dyDescent="0.2">
      <c r="A332" s="473" t="s">
        <v>310</v>
      </c>
      <c r="B332" s="474"/>
      <c r="C332" s="474"/>
    </row>
    <row r="333" spans="1:3" s="270" customFormat="1" ht="14.25" x14ac:dyDescent="0.2">
      <c r="A333" s="264"/>
      <c r="B333" s="265" t="s">
        <v>301</v>
      </c>
      <c r="C333" s="266">
        <v>455744</v>
      </c>
    </row>
    <row r="334" spans="1:3" ht="15" x14ac:dyDescent="0.2">
      <c r="B334" s="261" t="s">
        <v>394</v>
      </c>
      <c r="C334" s="262">
        <v>455744</v>
      </c>
    </row>
    <row r="336" spans="1:3" ht="15.75" customHeight="1" x14ac:dyDescent="0.2">
      <c r="A336" s="473" t="s">
        <v>312</v>
      </c>
      <c r="B336" s="474"/>
      <c r="C336" s="474"/>
    </row>
    <row r="337" spans="1:3" s="270" customFormat="1" ht="14.25" x14ac:dyDescent="0.2">
      <c r="A337" s="264"/>
      <c r="B337" s="265" t="s">
        <v>301</v>
      </c>
      <c r="C337" s="266">
        <v>652774</v>
      </c>
    </row>
    <row r="338" spans="1:3" ht="15" x14ac:dyDescent="0.2">
      <c r="B338" s="261" t="s">
        <v>394</v>
      </c>
      <c r="C338" s="262">
        <v>521821</v>
      </c>
    </row>
    <row r="339" spans="1:3" ht="15" x14ac:dyDescent="0.2">
      <c r="B339" s="261" t="s">
        <v>392</v>
      </c>
      <c r="C339" s="262">
        <v>130953</v>
      </c>
    </row>
    <row r="341" spans="1:3" ht="31.5" customHeight="1" x14ac:dyDescent="0.2">
      <c r="A341" s="473" t="s">
        <v>627</v>
      </c>
      <c r="B341" s="474"/>
      <c r="C341" s="474"/>
    </row>
    <row r="342" spans="1:3" s="270" customFormat="1" ht="14.25" x14ac:dyDescent="0.2">
      <c r="A342" s="264"/>
      <c r="B342" s="265" t="s">
        <v>301</v>
      </c>
      <c r="C342" s="266">
        <v>568415</v>
      </c>
    </row>
    <row r="343" spans="1:3" ht="15" x14ac:dyDescent="0.2">
      <c r="B343" s="261" t="s">
        <v>392</v>
      </c>
      <c r="C343" s="262">
        <v>568415</v>
      </c>
    </row>
    <row r="344" spans="1:3" ht="18.75" customHeight="1" x14ac:dyDescent="0.2"/>
    <row r="345" spans="1:3" ht="15.75" customHeight="1" x14ac:dyDescent="0.2">
      <c r="A345" s="473" t="s">
        <v>411</v>
      </c>
      <c r="B345" s="474"/>
      <c r="C345" s="474"/>
    </row>
    <row r="346" spans="1:3" s="270" customFormat="1" ht="14.25" x14ac:dyDescent="0.2">
      <c r="A346" s="264"/>
      <c r="B346" s="265" t="s">
        <v>301</v>
      </c>
      <c r="C346" s="266">
        <v>937928</v>
      </c>
    </row>
    <row r="347" spans="1:3" ht="15" x14ac:dyDescent="0.2">
      <c r="B347" s="261" t="s">
        <v>395</v>
      </c>
      <c r="C347" s="262">
        <v>814818</v>
      </c>
    </row>
    <row r="348" spans="1:3" ht="15" x14ac:dyDescent="0.2">
      <c r="B348" s="261" t="s">
        <v>394</v>
      </c>
      <c r="C348" s="262">
        <v>118110</v>
      </c>
    </row>
    <row r="349" spans="1:3" ht="15" x14ac:dyDescent="0.2">
      <c r="B349" s="261" t="s">
        <v>392</v>
      </c>
      <c r="C349" s="262">
        <v>5000</v>
      </c>
    </row>
    <row r="351" spans="1:3" ht="31.5" customHeight="1" x14ac:dyDescent="0.2">
      <c r="A351" s="473" t="s">
        <v>793</v>
      </c>
      <c r="B351" s="474"/>
      <c r="C351" s="474"/>
    </row>
    <row r="352" spans="1:3" s="270" customFormat="1" ht="14.25" x14ac:dyDescent="0.2">
      <c r="A352" s="264"/>
      <c r="B352" s="265" t="s">
        <v>301</v>
      </c>
      <c r="C352" s="266">
        <v>1432523</v>
      </c>
    </row>
    <row r="353" spans="1:3" ht="15" x14ac:dyDescent="0.2">
      <c r="B353" s="261" t="s">
        <v>394</v>
      </c>
      <c r="C353" s="262">
        <v>1201523</v>
      </c>
    </row>
    <row r="354" spans="1:3" ht="15" x14ac:dyDescent="0.2">
      <c r="B354" s="261" t="s">
        <v>393</v>
      </c>
      <c r="C354" s="262">
        <v>130000</v>
      </c>
    </row>
    <row r="355" spans="1:3" ht="15" x14ac:dyDescent="0.2">
      <c r="B355" s="261" t="s">
        <v>392</v>
      </c>
      <c r="C355" s="262">
        <v>101000</v>
      </c>
    </row>
    <row r="357" spans="1:3" ht="15.75" customHeight="1" x14ac:dyDescent="0.2">
      <c r="A357" s="473" t="s">
        <v>332</v>
      </c>
      <c r="B357" s="474"/>
      <c r="C357" s="474"/>
    </row>
    <row r="358" spans="1:3" s="270" customFormat="1" ht="14.25" x14ac:dyDescent="0.2">
      <c r="A358" s="264"/>
      <c r="B358" s="265" t="s">
        <v>301</v>
      </c>
      <c r="C358" s="266">
        <v>51850</v>
      </c>
    </row>
    <row r="359" spans="1:3" ht="15" x14ac:dyDescent="0.2">
      <c r="B359" s="261" t="s">
        <v>395</v>
      </c>
      <c r="C359" s="262">
        <v>1920</v>
      </c>
    </row>
    <row r="360" spans="1:3" ht="15" x14ac:dyDescent="0.2">
      <c r="B360" s="261" t="s">
        <v>394</v>
      </c>
      <c r="C360" s="262">
        <v>21850</v>
      </c>
    </row>
    <row r="361" spans="1:3" ht="15" x14ac:dyDescent="0.2">
      <c r="B361" s="261" t="s">
        <v>391</v>
      </c>
      <c r="C361" s="262">
        <v>28080</v>
      </c>
    </row>
    <row r="362" spans="1:3" ht="18.75" customHeight="1" x14ac:dyDescent="0.2"/>
    <row r="363" spans="1:3" ht="31.5" customHeight="1" x14ac:dyDescent="0.2">
      <c r="A363" s="475" t="s">
        <v>628</v>
      </c>
      <c r="B363" s="476"/>
      <c r="C363" s="476"/>
    </row>
    <row r="364" spans="1:3" ht="14.25" x14ac:dyDescent="0.2">
      <c r="A364" s="267"/>
      <c r="B364" s="268" t="s">
        <v>301</v>
      </c>
      <c r="C364" s="269">
        <v>3434659</v>
      </c>
    </row>
    <row r="365" spans="1:3" ht="14.25" x14ac:dyDescent="0.2">
      <c r="A365" s="267"/>
      <c r="B365" s="268" t="s">
        <v>395</v>
      </c>
      <c r="C365" s="269">
        <v>1512612</v>
      </c>
    </row>
    <row r="366" spans="1:3" ht="14.25" x14ac:dyDescent="0.2">
      <c r="A366" s="267"/>
      <c r="B366" s="268" t="s">
        <v>394</v>
      </c>
      <c r="C366" s="269">
        <v>1468932</v>
      </c>
    </row>
    <row r="367" spans="1:3" ht="14.25" x14ac:dyDescent="0.2">
      <c r="A367" s="267"/>
      <c r="B367" s="268" t="s">
        <v>393</v>
      </c>
      <c r="C367" s="269">
        <v>439000</v>
      </c>
    </row>
    <row r="368" spans="1:3" ht="14.25" x14ac:dyDescent="0.2">
      <c r="A368" s="267"/>
      <c r="B368" s="268" t="s">
        <v>392</v>
      </c>
      <c r="C368" s="269">
        <v>14115</v>
      </c>
    </row>
    <row r="370" spans="1:3" ht="15.75" customHeight="1" x14ac:dyDescent="0.2">
      <c r="A370" s="473" t="s">
        <v>410</v>
      </c>
      <c r="B370" s="474"/>
      <c r="C370" s="474"/>
    </row>
    <row r="371" spans="1:3" s="270" customFormat="1" ht="14.25" x14ac:dyDescent="0.2">
      <c r="A371" s="264"/>
      <c r="B371" s="265" t="s">
        <v>301</v>
      </c>
      <c r="C371" s="266">
        <v>528703</v>
      </c>
    </row>
    <row r="372" spans="1:3" ht="15" x14ac:dyDescent="0.2">
      <c r="B372" s="261" t="s">
        <v>395</v>
      </c>
      <c r="C372" s="262">
        <v>308363</v>
      </c>
    </row>
    <row r="373" spans="1:3" ht="15" x14ac:dyDescent="0.2">
      <c r="B373" s="261" t="s">
        <v>394</v>
      </c>
      <c r="C373" s="262">
        <v>209990</v>
      </c>
    </row>
    <row r="374" spans="1:3" ht="15" x14ac:dyDescent="0.2">
      <c r="B374" s="261" t="s">
        <v>392</v>
      </c>
      <c r="C374" s="262">
        <v>10350</v>
      </c>
    </row>
    <row r="376" spans="1:3" ht="15.75" customHeight="1" x14ac:dyDescent="0.2">
      <c r="A376" s="473" t="s">
        <v>319</v>
      </c>
      <c r="B376" s="474"/>
      <c r="C376" s="474"/>
    </row>
    <row r="377" spans="1:3" s="270" customFormat="1" ht="14.25" x14ac:dyDescent="0.2">
      <c r="A377" s="264"/>
      <c r="B377" s="265" t="s">
        <v>301</v>
      </c>
      <c r="C377" s="266">
        <v>580300</v>
      </c>
    </row>
    <row r="378" spans="1:3" ht="15" x14ac:dyDescent="0.2">
      <c r="B378" s="261" t="s">
        <v>394</v>
      </c>
      <c r="C378" s="262">
        <v>141300</v>
      </c>
    </row>
    <row r="379" spans="1:3" ht="15" x14ac:dyDescent="0.2">
      <c r="B379" s="261" t="s">
        <v>393</v>
      </c>
      <c r="C379" s="262">
        <v>439000</v>
      </c>
    </row>
    <row r="381" spans="1:3" ht="15.75" customHeight="1" x14ac:dyDescent="0.2">
      <c r="A381" s="473" t="s">
        <v>349</v>
      </c>
      <c r="B381" s="474"/>
      <c r="C381" s="474"/>
    </row>
    <row r="382" spans="1:3" s="270" customFormat="1" ht="14.25" x14ac:dyDescent="0.2">
      <c r="A382" s="264"/>
      <c r="B382" s="265" t="s">
        <v>301</v>
      </c>
      <c r="C382" s="266">
        <v>2325656</v>
      </c>
    </row>
    <row r="383" spans="1:3" ht="15" x14ac:dyDescent="0.2">
      <c r="B383" s="261" t="s">
        <v>395</v>
      </c>
      <c r="C383" s="262">
        <v>1204249</v>
      </c>
    </row>
    <row r="384" spans="1:3" ht="15" x14ac:dyDescent="0.2">
      <c r="B384" s="261" t="s">
        <v>394</v>
      </c>
      <c r="C384" s="262">
        <v>1117642</v>
      </c>
    </row>
    <row r="385" spans="1:3" ht="15" x14ac:dyDescent="0.2">
      <c r="B385" s="261" t="s">
        <v>392</v>
      </c>
      <c r="C385" s="262">
        <v>3765</v>
      </c>
    </row>
    <row r="388" spans="1:3" ht="31.5" customHeight="1" x14ac:dyDescent="0.2">
      <c r="A388" s="475" t="s">
        <v>629</v>
      </c>
      <c r="B388" s="477"/>
      <c r="C388" s="477"/>
    </row>
    <row r="389" spans="1:3" ht="14.25" x14ac:dyDescent="0.2">
      <c r="A389" s="271"/>
      <c r="B389" s="268" t="s">
        <v>301</v>
      </c>
      <c r="C389" s="269">
        <v>749943</v>
      </c>
    </row>
    <row r="390" spans="1:3" ht="14.25" x14ac:dyDescent="0.2">
      <c r="A390" s="271"/>
      <c r="B390" s="268" t="s">
        <v>395</v>
      </c>
      <c r="C390" s="269">
        <v>568031</v>
      </c>
    </row>
    <row r="391" spans="1:3" ht="14.25" x14ac:dyDescent="0.2">
      <c r="A391" s="271"/>
      <c r="B391" s="268" t="s">
        <v>394</v>
      </c>
      <c r="C391" s="269">
        <v>130412</v>
      </c>
    </row>
    <row r="392" spans="1:3" ht="14.25" x14ac:dyDescent="0.2">
      <c r="A392" s="271"/>
      <c r="B392" s="268" t="s">
        <v>392</v>
      </c>
      <c r="C392" s="269">
        <v>51500</v>
      </c>
    </row>
    <row r="394" spans="1:3" ht="15.75" customHeight="1" x14ac:dyDescent="0.2">
      <c r="A394" s="473" t="s">
        <v>409</v>
      </c>
      <c r="B394" s="474"/>
      <c r="C394" s="474"/>
    </row>
    <row r="395" spans="1:3" s="270" customFormat="1" ht="14.25" x14ac:dyDescent="0.2">
      <c r="A395" s="264"/>
      <c r="B395" s="265" t="s">
        <v>301</v>
      </c>
      <c r="C395" s="266">
        <v>736890</v>
      </c>
    </row>
    <row r="396" spans="1:3" ht="15" x14ac:dyDescent="0.2">
      <c r="B396" s="261" t="s">
        <v>395</v>
      </c>
      <c r="C396" s="262">
        <v>568031</v>
      </c>
    </row>
    <row r="397" spans="1:3" ht="15" x14ac:dyDescent="0.2">
      <c r="B397" s="261" t="s">
        <v>394</v>
      </c>
      <c r="C397" s="262">
        <v>117359</v>
      </c>
    </row>
    <row r="398" spans="1:3" ht="15" x14ac:dyDescent="0.2">
      <c r="B398" s="261" t="s">
        <v>392</v>
      </c>
      <c r="C398" s="262">
        <v>51500</v>
      </c>
    </row>
    <row r="400" spans="1:3" ht="31.5" customHeight="1" x14ac:dyDescent="0.2">
      <c r="A400" s="473" t="s">
        <v>794</v>
      </c>
      <c r="B400" s="474"/>
      <c r="C400" s="474"/>
    </row>
    <row r="401" spans="1:3" s="270" customFormat="1" ht="14.25" x14ac:dyDescent="0.2">
      <c r="A401" s="264"/>
      <c r="B401" s="265" t="s">
        <v>301</v>
      </c>
      <c r="C401" s="266">
        <v>13053</v>
      </c>
    </row>
    <row r="402" spans="1:3" ht="15" x14ac:dyDescent="0.2">
      <c r="B402" s="261" t="s">
        <v>394</v>
      </c>
      <c r="C402" s="262">
        <v>13053</v>
      </c>
    </row>
    <row r="403" spans="1:3" ht="27.75" customHeight="1" x14ac:dyDescent="0.2"/>
    <row r="404" spans="1:3" ht="31.5" customHeight="1" x14ac:dyDescent="0.2">
      <c r="A404" s="475" t="s">
        <v>630</v>
      </c>
      <c r="B404" s="476"/>
      <c r="C404" s="476"/>
    </row>
    <row r="405" spans="1:3" s="270" customFormat="1" ht="14.25" x14ac:dyDescent="0.2">
      <c r="A405" s="267"/>
      <c r="B405" s="268" t="s">
        <v>301</v>
      </c>
      <c r="C405" s="269">
        <v>592997</v>
      </c>
    </row>
    <row r="406" spans="1:3" ht="14.25" x14ac:dyDescent="0.2">
      <c r="A406" s="267"/>
      <c r="B406" s="268" t="s">
        <v>395</v>
      </c>
      <c r="C406" s="269">
        <v>428548</v>
      </c>
    </row>
    <row r="407" spans="1:3" ht="14.25" x14ac:dyDescent="0.2">
      <c r="A407" s="267"/>
      <c r="B407" s="268" t="s">
        <v>394</v>
      </c>
      <c r="C407" s="269">
        <v>87949</v>
      </c>
    </row>
    <row r="408" spans="1:3" ht="14.25" x14ac:dyDescent="0.2">
      <c r="A408" s="267"/>
      <c r="B408" s="268" t="s">
        <v>392</v>
      </c>
      <c r="C408" s="269">
        <v>76500</v>
      </c>
    </row>
    <row r="410" spans="1:3" ht="15.75" customHeight="1" x14ac:dyDescent="0.2">
      <c r="A410" s="473" t="s">
        <v>408</v>
      </c>
      <c r="B410" s="474"/>
      <c r="C410" s="474"/>
    </row>
    <row r="411" spans="1:3" s="270" customFormat="1" ht="14.25" x14ac:dyDescent="0.2">
      <c r="A411" s="264"/>
      <c r="B411" s="265" t="s">
        <v>301</v>
      </c>
      <c r="C411" s="266">
        <v>592997</v>
      </c>
    </row>
    <row r="412" spans="1:3" ht="15" x14ac:dyDescent="0.2">
      <c r="B412" s="261" t="s">
        <v>395</v>
      </c>
      <c r="C412" s="262">
        <v>428548</v>
      </c>
    </row>
    <row r="413" spans="1:3" ht="15" x14ac:dyDescent="0.2">
      <c r="B413" s="261" t="s">
        <v>394</v>
      </c>
      <c r="C413" s="262">
        <v>87949</v>
      </c>
    </row>
    <row r="414" spans="1:3" ht="15" x14ac:dyDescent="0.2">
      <c r="B414" s="261" t="s">
        <v>392</v>
      </c>
      <c r="C414" s="262">
        <v>76500</v>
      </c>
    </row>
    <row r="415" spans="1:3" ht="20.25" customHeight="1" x14ac:dyDescent="0.2"/>
    <row r="416" spans="1:3" ht="15.75" customHeight="1" x14ac:dyDescent="0.2">
      <c r="A416" s="475" t="s">
        <v>631</v>
      </c>
      <c r="B416" s="476"/>
      <c r="C416" s="476"/>
    </row>
    <row r="417" spans="1:3" ht="14.25" x14ac:dyDescent="0.2">
      <c r="A417" s="267"/>
      <c r="B417" s="268" t="s">
        <v>301</v>
      </c>
      <c r="C417" s="269">
        <v>2741355</v>
      </c>
    </row>
    <row r="418" spans="1:3" ht="14.25" x14ac:dyDescent="0.2">
      <c r="A418" s="267"/>
      <c r="B418" s="268" t="s">
        <v>395</v>
      </c>
      <c r="C418" s="269">
        <v>1733137</v>
      </c>
    </row>
    <row r="419" spans="1:3" ht="14.25" x14ac:dyDescent="0.2">
      <c r="A419" s="267"/>
      <c r="B419" s="268" t="s">
        <v>394</v>
      </c>
      <c r="C419" s="269">
        <v>926342</v>
      </c>
    </row>
    <row r="420" spans="1:3" ht="14.25" x14ac:dyDescent="0.2">
      <c r="A420" s="267"/>
      <c r="B420" s="268" t="s">
        <v>393</v>
      </c>
      <c r="C420" s="269">
        <v>10950</v>
      </c>
    </row>
    <row r="421" spans="1:3" ht="14.25" x14ac:dyDescent="0.2">
      <c r="A421" s="267"/>
      <c r="B421" s="268" t="s">
        <v>392</v>
      </c>
      <c r="C421" s="269">
        <v>33945</v>
      </c>
    </row>
    <row r="422" spans="1:3" ht="14.25" x14ac:dyDescent="0.2">
      <c r="A422" s="267"/>
      <c r="B422" s="268" t="s">
        <v>391</v>
      </c>
      <c r="C422" s="269">
        <v>27000</v>
      </c>
    </row>
    <row r="423" spans="1:3" ht="28.5" x14ac:dyDescent="0.2">
      <c r="A423" s="267"/>
      <c r="B423" s="268" t="s">
        <v>390</v>
      </c>
      <c r="C423" s="269">
        <v>9981</v>
      </c>
    </row>
    <row r="425" spans="1:3" ht="15.75" customHeight="1" x14ac:dyDescent="0.2">
      <c r="A425" s="473" t="s">
        <v>407</v>
      </c>
      <c r="B425" s="474"/>
      <c r="C425" s="474"/>
    </row>
    <row r="426" spans="1:3" s="270" customFormat="1" ht="14.25" x14ac:dyDescent="0.2">
      <c r="A426" s="264"/>
      <c r="B426" s="265" t="s">
        <v>301</v>
      </c>
      <c r="C426" s="266">
        <v>1437473</v>
      </c>
    </row>
    <row r="427" spans="1:3" ht="15" x14ac:dyDescent="0.2">
      <c r="B427" s="261" t="s">
        <v>395</v>
      </c>
      <c r="C427" s="262">
        <v>931119</v>
      </c>
    </row>
    <row r="428" spans="1:3" ht="15" x14ac:dyDescent="0.2">
      <c r="B428" s="261" t="s">
        <v>394</v>
      </c>
      <c r="C428" s="262">
        <v>488354</v>
      </c>
    </row>
    <row r="429" spans="1:3" ht="15" x14ac:dyDescent="0.2">
      <c r="B429" s="261" t="s">
        <v>392</v>
      </c>
      <c r="C429" s="262">
        <v>18000</v>
      </c>
    </row>
    <row r="431" spans="1:3" ht="15.75" customHeight="1" x14ac:dyDescent="0.2">
      <c r="A431" s="473" t="s">
        <v>406</v>
      </c>
      <c r="B431" s="474"/>
      <c r="C431" s="474"/>
    </row>
    <row r="432" spans="1:3" s="270" customFormat="1" ht="14.25" x14ac:dyDescent="0.2">
      <c r="A432" s="264"/>
      <c r="B432" s="265" t="s">
        <v>301</v>
      </c>
      <c r="C432" s="266">
        <v>521029</v>
      </c>
    </row>
    <row r="433" spans="1:3" ht="15" x14ac:dyDescent="0.2">
      <c r="B433" s="261" t="s">
        <v>395</v>
      </c>
      <c r="C433" s="262">
        <v>102311</v>
      </c>
    </row>
    <row r="434" spans="1:3" ht="15" x14ac:dyDescent="0.2">
      <c r="B434" s="261" t="s">
        <v>394</v>
      </c>
      <c r="C434" s="262">
        <v>376773</v>
      </c>
    </row>
    <row r="435" spans="1:3" ht="15" x14ac:dyDescent="0.2">
      <c r="B435" s="261" t="s">
        <v>392</v>
      </c>
      <c r="C435" s="262">
        <v>14945</v>
      </c>
    </row>
    <row r="436" spans="1:3" ht="15" x14ac:dyDescent="0.2">
      <c r="B436" s="261" t="s">
        <v>391</v>
      </c>
      <c r="C436" s="262">
        <v>27000</v>
      </c>
    </row>
    <row r="438" spans="1:3" ht="15.75" customHeight="1" x14ac:dyDescent="0.2">
      <c r="A438" s="473" t="s">
        <v>320</v>
      </c>
      <c r="B438" s="474"/>
      <c r="C438" s="474"/>
    </row>
    <row r="439" spans="1:3" s="270" customFormat="1" ht="14.25" x14ac:dyDescent="0.2">
      <c r="A439" s="264"/>
      <c r="B439" s="265" t="s">
        <v>301</v>
      </c>
      <c r="C439" s="266">
        <v>92715</v>
      </c>
    </row>
    <row r="440" spans="1:3" ht="15" x14ac:dyDescent="0.2">
      <c r="B440" s="261" t="s">
        <v>395</v>
      </c>
      <c r="C440" s="262">
        <v>92215</v>
      </c>
    </row>
    <row r="441" spans="1:3" ht="15" x14ac:dyDescent="0.2">
      <c r="B441" s="261" t="s">
        <v>394</v>
      </c>
      <c r="C441" s="262">
        <v>500</v>
      </c>
    </row>
    <row r="443" spans="1:3" ht="15.75" customHeight="1" x14ac:dyDescent="0.2">
      <c r="A443" s="473" t="s">
        <v>321</v>
      </c>
      <c r="B443" s="474"/>
      <c r="C443" s="474"/>
    </row>
    <row r="444" spans="1:3" s="270" customFormat="1" ht="14.25" x14ac:dyDescent="0.2">
      <c r="A444" s="264"/>
      <c r="B444" s="265" t="s">
        <v>301</v>
      </c>
      <c r="C444" s="266">
        <v>79974</v>
      </c>
    </row>
    <row r="445" spans="1:3" ht="15" x14ac:dyDescent="0.2">
      <c r="B445" s="261" t="s">
        <v>395</v>
      </c>
      <c r="C445" s="262">
        <v>75254</v>
      </c>
    </row>
    <row r="446" spans="1:3" ht="15" x14ac:dyDescent="0.2">
      <c r="B446" s="261" t="s">
        <v>394</v>
      </c>
      <c r="C446" s="262">
        <v>4720</v>
      </c>
    </row>
    <row r="448" spans="1:3" ht="15.75" customHeight="1" x14ac:dyDescent="0.2">
      <c r="A448" s="473" t="s">
        <v>322</v>
      </c>
      <c r="B448" s="474"/>
      <c r="C448" s="474"/>
    </row>
    <row r="449" spans="1:3" s="270" customFormat="1" ht="14.25" x14ac:dyDescent="0.2">
      <c r="A449" s="264"/>
      <c r="B449" s="265" t="s">
        <v>301</v>
      </c>
      <c r="C449" s="266">
        <v>17933</v>
      </c>
    </row>
    <row r="450" spans="1:3" ht="15" x14ac:dyDescent="0.2">
      <c r="B450" s="261" t="s">
        <v>395</v>
      </c>
      <c r="C450" s="262">
        <v>14933</v>
      </c>
    </row>
    <row r="451" spans="1:3" ht="15" x14ac:dyDescent="0.2">
      <c r="B451" s="261" t="s">
        <v>394</v>
      </c>
      <c r="C451" s="262">
        <v>3000</v>
      </c>
    </row>
    <row r="453" spans="1:3" ht="15.75" customHeight="1" x14ac:dyDescent="0.2">
      <c r="A453" s="473" t="s">
        <v>323</v>
      </c>
      <c r="B453" s="474"/>
      <c r="C453" s="474"/>
    </row>
    <row r="454" spans="1:3" s="270" customFormat="1" ht="14.25" x14ac:dyDescent="0.2">
      <c r="A454" s="264"/>
      <c r="B454" s="265" t="s">
        <v>301</v>
      </c>
      <c r="C454" s="266">
        <v>560187</v>
      </c>
    </row>
    <row r="455" spans="1:3" ht="15" x14ac:dyDescent="0.2">
      <c r="B455" s="261" t="s">
        <v>395</v>
      </c>
      <c r="C455" s="262">
        <v>510356</v>
      </c>
    </row>
    <row r="456" spans="1:3" ht="15" x14ac:dyDescent="0.2">
      <c r="B456" s="261" t="s">
        <v>394</v>
      </c>
      <c r="C456" s="262">
        <v>42000</v>
      </c>
    </row>
    <row r="457" spans="1:3" ht="30" x14ac:dyDescent="0.2">
      <c r="B457" s="261" t="s">
        <v>390</v>
      </c>
      <c r="C457" s="262">
        <v>7831</v>
      </c>
    </row>
    <row r="459" spans="1:3" ht="15.75" customHeight="1" x14ac:dyDescent="0.2">
      <c r="A459" s="473" t="s">
        <v>326</v>
      </c>
      <c r="B459" s="474"/>
      <c r="C459" s="474"/>
    </row>
    <row r="460" spans="1:3" s="270" customFormat="1" ht="14.25" x14ac:dyDescent="0.2">
      <c r="A460" s="264"/>
      <c r="B460" s="265" t="s">
        <v>301</v>
      </c>
      <c r="C460" s="266">
        <v>32044</v>
      </c>
    </row>
    <row r="461" spans="1:3" ht="15" x14ac:dyDescent="0.2">
      <c r="B461" s="261" t="s">
        <v>395</v>
      </c>
      <c r="C461" s="262">
        <v>6949</v>
      </c>
    </row>
    <row r="462" spans="1:3" ht="15" x14ac:dyDescent="0.2">
      <c r="B462" s="261" t="s">
        <v>394</v>
      </c>
      <c r="C462" s="262">
        <v>10995</v>
      </c>
    </row>
    <row r="463" spans="1:3" ht="15" x14ac:dyDescent="0.2">
      <c r="B463" s="261" t="s">
        <v>393</v>
      </c>
      <c r="C463" s="262">
        <v>10950</v>
      </c>
    </row>
    <row r="464" spans="1:3" ht="15" x14ac:dyDescent="0.2">
      <c r="B464" s="261" t="s">
        <v>392</v>
      </c>
      <c r="C464" s="262">
        <v>1000</v>
      </c>
    </row>
    <row r="465" spans="1:3" ht="30" x14ac:dyDescent="0.2">
      <c r="B465" s="261" t="s">
        <v>390</v>
      </c>
      <c r="C465" s="262">
        <v>2150</v>
      </c>
    </row>
    <row r="466" spans="1:3" ht="32.25" customHeight="1" x14ac:dyDescent="0.2"/>
    <row r="467" spans="1:3" ht="31.5" customHeight="1" x14ac:dyDescent="0.2">
      <c r="A467" s="475" t="s">
        <v>701</v>
      </c>
      <c r="B467" s="476"/>
      <c r="C467" s="476"/>
    </row>
    <row r="468" spans="1:3" ht="14.25" x14ac:dyDescent="0.2">
      <c r="A468" s="267"/>
      <c r="B468" s="268" t="s">
        <v>301</v>
      </c>
      <c r="C468" s="269">
        <v>1313000</v>
      </c>
    </row>
    <row r="469" spans="1:3" ht="14.25" x14ac:dyDescent="0.2">
      <c r="A469" s="267"/>
      <c r="B469" s="268" t="s">
        <v>395</v>
      </c>
      <c r="C469" s="269">
        <v>730266</v>
      </c>
    </row>
    <row r="470" spans="1:3" ht="14.25" x14ac:dyDescent="0.2">
      <c r="A470" s="267"/>
      <c r="B470" s="268" t="s">
        <v>394</v>
      </c>
      <c r="C470" s="269">
        <v>520390</v>
      </c>
    </row>
    <row r="471" spans="1:3" ht="14.25" x14ac:dyDescent="0.2">
      <c r="A471" s="267"/>
      <c r="B471" s="268" t="s">
        <v>392</v>
      </c>
      <c r="C471" s="269">
        <v>23190</v>
      </c>
    </row>
    <row r="472" spans="1:3" ht="14.25" x14ac:dyDescent="0.2">
      <c r="A472" s="267"/>
      <c r="B472" s="268" t="s">
        <v>391</v>
      </c>
      <c r="C472" s="269">
        <v>26345</v>
      </c>
    </row>
    <row r="473" spans="1:3" ht="28.5" x14ac:dyDescent="0.2">
      <c r="A473" s="267"/>
      <c r="B473" s="268" t="s">
        <v>390</v>
      </c>
      <c r="C473" s="269">
        <v>12809</v>
      </c>
    </row>
    <row r="475" spans="1:3" ht="15.75" customHeight="1" x14ac:dyDescent="0.2">
      <c r="A475" s="473" t="s">
        <v>405</v>
      </c>
      <c r="B475" s="474"/>
      <c r="C475" s="474"/>
    </row>
    <row r="476" spans="1:3" s="270" customFormat="1" ht="14.25" x14ac:dyDescent="0.2">
      <c r="A476" s="264"/>
      <c r="B476" s="265" t="s">
        <v>301</v>
      </c>
      <c r="C476" s="266">
        <v>1156291</v>
      </c>
    </row>
    <row r="477" spans="1:3" ht="15" x14ac:dyDescent="0.2">
      <c r="B477" s="261" t="s">
        <v>395</v>
      </c>
      <c r="C477" s="262">
        <v>700246</v>
      </c>
    </row>
    <row r="478" spans="1:3" ht="15" x14ac:dyDescent="0.2">
      <c r="B478" s="261" t="s">
        <v>394</v>
      </c>
      <c r="C478" s="262">
        <v>428755</v>
      </c>
    </row>
    <row r="479" spans="1:3" ht="15" x14ac:dyDescent="0.2">
      <c r="B479" s="261" t="s">
        <v>392</v>
      </c>
      <c r="C479" s="262">
        <v>19590</v>
      </c>
    </row>
    <row r="480" spans="1:3" ht="15" x14ac:dyDescent="0.2">
      <c r="B480" s="261" t="s">
        <v>391</v>
      </c>
      <c r="C480" s="262">
        <v>7700</v>
      </c>
    </row>
    <row r="482" spans="1:3" ht="15.75" customHeight="1" x14ac:dyDescent="0.2">
      <c r="A482" s="473" t="s">
        <v>404</v>
      </c>
      <c r="B482" s="474"/>
      <c r="C482" s="474"/>
    </row>
    <row r="483" spans="1:3" s="270" customFormat="1" ht="14.25" x14ac:dyDescent="0.2">
      <c r="A483" s="264"/>
      <c r="B483" s="265" t="s">
        <v>301</v>
      </c>
      <c r="C483" s="266">
        <v>156709</v>
      </c>
    </row>
    <row r="484" spans="1:3" ht="15" x14ac:dyDescent="0.2">
      <c r="B484" s="261" t="s">
        <v>395</v>
      </c>
      <c r="C484" s="262">
        <v>30020</v>
      </c>
    </row>
    <row r="485" spans="1:3" ht="15" x14ac:dyDescent="0.2">
      <c r="B485" s="261" t="s">
        <v>394</v>
      </c>
      <c r="C485" s="262">
        <v>91635</v>
      </c>
    </row>
    <row r="486" spans="1:3" ht="15" x14ac:dyDescent="0.2">
      <c r="B486" s="261" t="s">
        <v>392</v>
      </c>
      <c r="C486" s="262">
        <v>3600</v>
      </c>
    </row>
    <row r="487" spans="1:3" ht="15" x14ac:dyDescent="0.2">
      <c r="B487" s="261" t="s">
        <v>391</v>
      </c>
      <c r="C487" s="262">
        <v>18645</v>
      </c>
    </row>
    <row r="488" spans="1:3" ht="30" x14ac:dyDescent="0.2">
      <c r="B488" s="261" t="s">
        <v>390</v>
      </c>
      <c r="C488" s="262">
        <v>12809</v>
      </c>
    </row>
    <row r="489" spans="1:3" ht="32.25" customHeight="1" x14ac:dyDescent="0.2"/>
    <row r="490" spans="1:3" ht="31.5" customHeight="1" x14ac:dyDescent="0.2">
      <c r="A490" s="475" t="s">
        <v>702</v>
      </c>
      <c r="B490" s="476"/>
      <c r="C490" s="476"/>
    </row>
    <row r="491" spans="1:3" ht="14.25" x14ac:dyDescent="0.2">
      <c r="A491" s="267"/>
      <c r="B491" s="268" t="s">
        <v>301</v>
      </c>
      <c r="C491" s="269">
        <v>27656262</v>
      </c>
    </row>
    <row r="492" spans="1:3" ht="14.25" x14ac:dyDescent="0.2">
      <c r="A492" s="267"/>
      <c r="B492" s="268" t="s">
        <v>395</v>
      </c>
      <c r="C492" s="269">
        <v>18093387</v>
      </c>
    </row>
    <row r="493" spans="1:3" ht="14.25" x14ac:dyDescent="0.2">
      <c r="A493" s="267"/>
      <c r="B493" s="268" t="s">
        <v>394</v>
      </c>
      <c r="C493" s="269">
        <v>4716762</v>
      </c>
    </row>
    <row r="494" spans="1:3" ht="14.25" x14ac:dyDescent="0.2">
      <c r="A494" s="267"/>
      <c r="B494" s="268" t="s">
        <v>393</v>
      </c>
      <c r="C494" s="269">
        <v>2970325</v>
      </c>
    </row>
    <row r="495" spans="1:3" ht="14.25" x14ac:dyDescent="0.2">
      <c r="A495" s="267"/>
      <c r="B495" s="268" t="s">
        <v>392</v>
      </c>
      <c r="C495" s="269">
        <v>551607</v>
      </c>
    </row>
    <row r="496" spans="1:3" ht="14.25" x14ac:dyDescent="0.2">
      <c r="A496" s="267"/>
      <c r="B496" s="268" t="s">
        <v>391</v>
      </c>
      <c r="C496" s="269">
        <v>383350</v>
      </c>
    </row>
    <row r="497" spans="1:3" ht="28.5" x14ac:dyDescent="0.2">
      <c r="A497" s="267"/>
      <c r="B497" s="268" t="s">
        <v>390</v>
      </c>
      <c r="C497" s="269">
        <v>940831</v>
      </c>
    </row>
    <row r="499" spans="1:3" ht="15.75" customHeight="1" x14ac:dyDescent="0.2">
      <c r="A499" s="473" t="s">
        <v>304</v>
      </c>
      <c r="B499" s="474"/>
      <c r="C499" s="474"/>
    </row>
    <row r="500" spans="1:3" s="270" customFormat="1" ht="14.25" x14ac:dyDescent="0.2">
      <c r="A500" s="264"/>
      <c r="B500" s="265" t="s">
        <v>301</v>
      </c>
      <c r="C500" s="266">
        <v>940923</v>
      </c>
    </row>
    <row r="501" spans="1:3" ht="15" x14ac:dyDescent="0.2">
      <c r="B501" s="261" t="s">
        <v>394</v>
      </c>
      <c r="C501" s="262">
        <v>100</v>
      </c>
    </row>
    <row r="502" spans="1:3" ht="30" x14ac:dyDescent="0.2">
      <c r="B502" s="261" t="s">
        <v>390</v>
      </c>
      <c r="C502" s="262">
        <v>940823</v>
      </c>
    </row>
    <row r="504" spans="1:3" ht="15.75" customHeight="1" x14ac:dyDescent="0.2">
      <c r="A504" s="473" t="s">
        <v>796</v>
      </c>
      <c r="B504" s="474"/>
      <c r="C504" s="474"/>
    </row>
    <row r="505" spans="1:3" s="270" customFormat="1" ht="14.25" x14ac:dyDescent="0.2">
      <c r="A505" s="264"/>
      <c r="B505" s="265" t="s">
        <v>301</v>
      </c>
      <c r="C505" s="266">
        <v>8981703</v>
      </c>
    </row>
    <row r="506" spans="1:3" ht="15" x14ac:dyDescent="0.2">
      <c r="B506" s="261" t="s">
        <v>395</v>
      </c>
      <c r="C506" s="262">
        <v>5264524</v>
      </c>
    </row>
    <row r="507" spans="1:3" ht="15" x14ac:dyDescent="0.2">
      <c r="B507" s="261" t="s">
        <v>394</v>
      </c>
      <c r="C507" s="262">
        <v>959733</v>
      </c>
    </row>
    <row r="508" spans="1:3" ht="15" x14ac:dyDescent="0.2">
      <c r="B508" s="261" t="s">
        <v>393</v>
      </c>
      <c r="C508" s="262">
        <v>2690760</v>
      </c>
    </row>
    <row r="509" spans="1:3" ht="15" x14ac:dyDescent="0.2">
      <c r="B509" s="261" t="s">
        <v>392</v>
      </c>
      <c r="C509" s="262">
        <v>66686</v>
      </c>
    </row>
    <row r="511" spans="1:3" ht="15.75" customHeight="1" x14ac:dyDescent="0.2">
      <c r="A511" s="473" t="s">
        <v>797</v>
      </c>
      <c r="B511" s="474"/>
      <c r="C511" s="474"/>
    </row>
    <row r="512" spans="1:3" s="270" customFormat="1" ht="14.25" x14ac:dyDescent="0.2">
      <c r="A512" s="264"/>
      <c r="B512" s="265" t="s">
        <v>301</v>
      </c>
      <c r="C512" s="266">
        <v>11433287</v>
      </c>
    </row>
    <row r="513" spans="1:3" ht="15" x14ac:dyDescent="0.2">
      <c r="B513" s="261" t="s">
        <v>395</v>
      </c>
      <c r="C513" s="262">
        <v>8500890</v>
      </c>
    </row>
    <row r="514" spans="1:3" ht="15" x14ac:dyDescent="0.2">
      <c r="B514" s="261" t="s">
        <v>394</v>
      </c>
      <c r="C514" s="262">
        <v>2225475</v>
      </c>
    </row>
    <row r="515" spans="1:3" ht="15" x14ac:dyDescent="0.2">
      <c r="B515" s="261" t="s">
        <v>393</v>
      </c>
      <c r="C515" s="262">
        <v>266400</v>
      </c>
    </row>
    <row r="516" spans="1:3" ht="15" x14ac:dyDescent="0.2">
      <c r="B516" s="261" t="s">
        <v>392</v>
      </c>
      <c r="C516" s="262">
        <v>401222</v>
      </c>
    </row>
    <row r="517" spans="1:3" ht="15" x14ac:dyDescent="0.2">
      <c r="B517" s="261" t="s">
        <v>391</v>
      </c>
      <c r="C517" s="262">
        <v>39300</v>
      </c>
    </row>
    <row r="519" spans="1:3" ht="31.5" customHeight="1" x14ac:dyDescent="0.2">
      <c r="A519" s="473" t="s">
        <v>798</v>
      </c>
      <c r="B519" s="474"/>
      <c r="C519" s="474"/>
    </row>
    <row r="520" spans="1:3" s="270" customFormat="1" ht="14.25" x14ac:dyDescent="0.2">
      <c r="A520" s="264"/>
      <c r="B520" s="265" t="s">
        <v>301</v>
      </c>
      <c r="C520" s="266">
        <v>1642312</v>
      </c>
    </row>
    <row r="521" spans="1:3" ht="15" x14ac:dyDescent="0.2">
      <c r="B521" s="261" t="s">
        <v>395</v>
      </c>
      <c r="C521" s="262">
        <v>1292845</v>
      </c>
    </row>
    <row r="522" spans="1:3" ht="15" x14ac:dyDescent="0.2">
      <c r="B522" s="261" t="s">
        <v>394</v>
      </c>
      <c r="C522" s="262">
        <v>311567</v>
      </c>
    </row>
    <row r="523" spans="1:3" ht="15" x14ac:dyDescent="0.2">
      <c r="B523" s="261" t="s">
        <v>392</v>
      </c>
      <c r="C523" s="262">
        <v>37900</v>
      </c>
    </row>
    <row r="525" spans="1:3" ht="15.75" customHeight="1" x14ac:dyDescent="0.2">
      <c r="A525" s="473" t="s">
        <v>327</v>
      </c>
      <c r="B525" s="474"/>
      <c r="C525" s="474"/>
    </row>
    <row r="526" spans="1:3" s="270" customFormat="1" ht="14.25" x14ac:dyDescent="0.2">
      <c r="A526" s="264"/>
      <c r="B526" s="265" t="s">
        <v>301</v>
      </c>
      <c r="C526" s="266">
        <v>414749</v>
      </c>
    </row>
    <row r="527" spans="1:3" ht="15" x14ac:dyDescent="0.2">
      <c r="B527" s="261" t="s">
        <v>395</v>
      </c>
      <c r="C527" s="262">
        <v>3000</v>
      </c>
    </row>
    <row r="528" spans="1:3" ht="15" x14ac:dyDescent="0.2">
      <c r="B528" s="261" t="s">
        <v>394</v>
      </c>
      <c r="C528" s="262">
        <v>391605</v>
      </c>
    </row>
    <row r="529" spans="1:3" ht="15" x14ac:dyDescent="0.2">
      <c r="B529" s="261" t="s">
        <v>392</v>
      </c>
      <c r="C529" s="262">
        <v>20144</v>
      </c>
    </row>
    <row r="531" spans="1:3" ht="15.75" customHeight="1" x14ac:dyDescent="0.2">
      <c r="A531" s="473" t="s">
        <v>328</v>
      </c>
      <c r="B531" s="474"/>
      <c r="C531" s="474"/>
    </row>
    <row r="532" spans="1:3" s="270" customFormat="1" ht="14.25" x14ac:dyDescent="0.2">
      <c r="A532" s="264"/>
      <c r="B532" s="265" t="s">
        <v>301</v>
      </c>
      <c r="C532" s="266">
        <v>951537</v>
      </c>
    </row>
    <row r="533" spans="1:3" ht="15" x14ac:dyDescent="0.2">
      <c r="B533" s="261" t="s">
        <v>395</v>
      </c>
      <c r="C533" s="262">
        <v>711279</v>
      </c>
    </row>
    <row r="534" spans="1:3" ht="15" x14ac:dyDescent="0.2">
      <c r="B534" s="261" t="s">
        <v>394</v>
      </c>
      <c r="C534" s="262">
        <v>160439</v>
      </c>
    </row>
    <row r="535" spans="1:3" ht="15" x14ac:dyDescent="0.2">
      <c r="B535" s="261" t="s">
        <v>392</v>
      </c>
      <c r="C535" s="262">
        <v>10019</v>
      </c>
    </row>
    <row r="536" spans="1:3" ht="15" x14ac:dyDescent="0.2">
      <c r="B536" s="261" t="s">
        <v>391</v>
      </c>
      <c r="C536" s="262">
        <v>69800</v>
      </c>
    </row>
    <row r="538" spans="1:3" ht="15.75" customHeight="1" x14ac:dyDescent="0.2">
      <c r="A538" s="473" t="s">
        <v>632</v>
      </c>
      <c r="B538" s="474"/>
      <c r="C538" s="474"/>
    </row>
    <row r="539" spans="1:3" s="270" customFormat="1" ht="14.25" x14ac:dyDescent="0.2">
      <c r="A539" s="264"/>
      <c r="B539" s="265" t="s">
        <v>301</v>
      </c>
      <c r="C539" s="266">
        <v>436597</v>
      </c>
    </row>
    <row r="540" spans="1:3" ht="15" x14ac:dyDescent="0.2">
      <c r="B540" s="261" t="s">
        <v>395</v>
      </c>
      <c r="C540" s="262">
        <v>138275</v>
      </c>
    </row>
    <row r="541" spans="1:3" ht="15" x14ac:dyDescent="0.2">
      <c r="B541" s="261" t="s">
        <v>394</v>
      </c>
      <c r="C541" s="262">
        <v>295322</v>
      </c>
    </row>
    <row r="542" spans="1:3" ht="15" x14ac:dyDescent="0.2">
      <c r="B542" s="261" t="s">
        <v>392</v>
      </c>
      <c r="C542" s="262">
        <v>3000</v>
      </c>
    </row>
    <row r="544" spans="1:3" ht="31.5" customHeight="1" x14ac:dyDescent="0.2">
      <c r="A544" s="473" t="s">
        <v>799</v>
      </c>
      <c r="B544" s="474"/>
      <c r="C544" s="474"/>
    </row>
    <row r="545" spans="1:3" s="270" customFormat="1" ht="14.25" x14ac:dyDescent="0.2">
      <c r="A545" s="264"/>
      <c r="B545" s="265" t="s">
        <v>301</v>
      </c>
      <c r="C545" s="266">
        <v>963831</v>
      </c>
    </row>
    <row r="546" spans="1:3" ht="15" x14ac:dyDescent="0.2">
      <c r="B546" s="261" t="s">
        <v>395</v>
      </c>
      <c r="C546" s="262">
        <v>740161</v>
      </c>
    </row>
    <row r="547" spans="1:3" ht="15" x14ac:dyDescent="0.2">
      <c r="B547" s="261" t="s">
        <v>394</v>
      </c>
      <c r="C547" s="262">
        <v>212345</v>
      </c>
    </row>
    <row r="548" spans="1:3" ht="15" x14ac:dyDescent="0.2">
      <c r="B548" s="261" t="s">
        <v>393</v>
      </c>
      <c r="C548" s="262">
        <v>11325</v>
      </c>
    </row>
    <row r="550" spans="1:3" ht="15.75" customHeight="1" x14ac:dyDescent="0.2">
      <c r="A550" s="473" t="s">
        <v>329</v>
      </c>
      <c r="B550" s="474"/>
      <c r="C550" s="474"/>
    </row>
    <row r="551" spans="1:3" s="270" customFormat="1" ht="14.25" x14ac:dyDescent="0.2">
      <c r="A551" s="264"/>
      <c r="B551" s="265" t="s">
        <v>301</v>
      </c>
      <c r="C551" s="266">
        <v>247941</v>
      </c>
    </row>
    <row r="552" spans="1:3" ht="15" x14ac:dyDescent="0.2">
      <c r="B552" s="261" t="s">
        <v>395</v>
      </c>
      <c r="C552" s="262">
        <v>215260</v>
      </c>
    </row>
    <row r="553" spans="1:3" ht="15" x14ac:dyDescent="0.2">
      <c r="B553" s="261" t="s">
        <v>394</v>
      </c>
      <c r="C553" s="262">
        <v>32673</v>
      </c>
    </row>
    <row r="554" spans="1:3" ht="30" x14ac:dyDescent="0.2">
      <c r="B554" s="261" t="s">
        <v>390</v>
      </c>
      <c r="C554" s="262">
        <v>8</v>
      </c>
    </row>
    <row r="556" spans="1:3" ht="15.75" customHeight="1" x14ac:dyDescent="0.2">
      <c r="A556" s="473" t="s">
        <v>800</v>
      </c>
      <c r="B556" s="474"/>
      <c r="C556" s="474"/>
    </row>
    <row r="557" spans="1:3" s="270" customFormat="1" ht="14.25" x14ac:dyDescent="0.2">
      <c r="A557" s="264"/>
      <c r="B557" s="265" t="s">
        <v>301</v>
      </c>
      <c r="C557" s="266">
        <v>820292</v>
      </c>
    </row>
    <row r="558" spans="1:3" ht="15" x14ac:dyDescent="0.2">
      <c r="B558" s="261" t="s">
        <v>395</v>
      </c>
      <c r="C558" s="262">
        <v>720837</v>
      </c>
    </row>
    <row r="559" spans="1:3" ht="15" x14ac:dyDescent="0.2">
      <c r="B559" s="261" t="s">
        <v>394</v>
      </c>
      <c r="C559" s="262">
        <v>83805</v>
      </c>
    </row>
    <row r="560" spans="1:3" ht="15" x14ac:dyDescent="0.2">
      <c r="B560" s="261" t="s">
        <v>392</v>
      </c>
      <c r="C560" s="262">
        <v>10650</v>
      </c>
    </row>
    <row r="561" spans="1:3" ht="15" x14ac:dyDescent="0.2">
      <c r="B561" s="261" t="s">
        <v>391</v>
      </c>
      <c r="C561" s="262">
        <v>5000</v>
      </c>
    </row>
    <row r="563" spans="1:3" ht="15.75" customHeight="1" x14ac:dyDescent="0.2">
      <c r="A563" s="473" t="s">
        <v>801</v>
      </c>
      <c r="B563" s="474"/>
      <c r="C563" s="474"/>
    </row>
    <row r="564" spans="1:3" s="270" customFormat="1" ht="14.25" x14ac:dyDescent="0.2">
      <c r="A564" s="264"/>
      <c r="B564" s="265" t="s">
        <v>301</v>
      </c>
      <c r="C564" s="266">
        <v>467695</v>
      </c>
    </row>
    <row r="565" spans="1:3" ht="15" x14ac:dyDescent="0.2">
      <c r="B565" s="261" t="s">
        <v>395</v>
      </c>
      <c r="C565" s="262">
        <v>425311</v>
      </c>
    </row>
    <row r="566" spans="1:3" ht="15" x14ac:dyDescent="0.2">
      <c r="B566" s="261" t="s">
        <v>394</v>
      </c>
      <c r="C566" s="262">
        <v>38558</v>
      </c>
    </row>
    <row r="567" spans="1:3" ht="15" x14ac:dyDescent="0.2">
      <c r="B567" s="261" t="s">
        <v>393</v>
      </c>
      <c r="C567" s="262">
        <v>1840</v>
      </c>
    </row>
    <row r="568" spans="1:3" ht="15" x14ac:dyDescent="0.2">
      <c r="B568" s="261" t="s">
        <v>392</v>
      </c>
      <c r="C568" s="262">
        <v>1986</v>
      </c>
    </row>
    <row r="570" spans="1:3" ht="15.75" customHeight="1" x14ac:dyDescent="0.2">
      <c r="A570" s="473" t="s">
        <v>802</v>
      </c>
      <c r="B570" s="474"/>
      <c r="C570" s="474"/>
    </row>
    <row r="571" spans="1:3" s="270" customFormat="1" ht="14.25" x14ac:dyDescent="0.2">
      <c r="A571" s="264"/>
      <c r="B571" s="265" t="s">
        <v>301</v>
      </c>
      <c r="C571" s="266">
        <v>86145</v>
      </c>
    </row>
    <row r="572" spans="1:3" ht="15" x14ac:dyDescent="0.2">
      <c r="B572" s="261" t="s">
        <v>395</v>
      </c>
      <c r="C572" s="262">
        <v>81005</v>
      </c>
    </row>
    <row r="573" spans="1:3" ht="15" x14ac:dyDescent="0.2">
      <c r="B573" s="261" t="s">
        <v>394</v>
      </c>
      <c r="C573" s="262">
        <v>5140</v>
      </c>
    </row>
    <row r="575" spans="1:3" ht="15.75" customHeight="1" x14ac:dyDescent="0.2">
      <c r="A575" s="473" t="s">
        <v>338</v>
      </c>
      <c r="B575" s="474"/>
      <c r="C575" s="474"/>
    </row>
    <row r="576" spans="1:3" s="270" customFormat="1" ht="14.25" x14ac:dyDescent="0.2">
      <c r="A576" s="264"/>
      <c r="B576" s="265" t="s">
        <v>301</v>
      </c>
      <c r="C576" s="266">
        <v>269250</v>
      </c>
    </row>
    <row r="577" spans="1:3" ht="15" x14ac:dyDescent="0.2">
      <c r="B577" s="261" t="s">
        <v>391</v>
      </c>
      <c r="C577" s="262">
        <v>269250</v>
      </c>
    </row>
    <row r="578" spans="1:3" ht="27" customHeight="1" x14ac:dyDescent="0.2"/>
    <row r="579" spans="1:3" ht="31.5" customHeight="1" x14ac:dyDescent="0.2">
      <c r="A579" s="475" t="s">
        <v>703</v>
      </c>
      <c r="B579" s="476"/>
      <c r="C579" s="476"/>
    </row>
    <row r="580" spans="1:3" ht="14.25" x14ac:dyDescent="0.2">
      <c r="A580" s="267"/>
      <c r="B580" s="268" t="s">
        <v>301</v>
      </c>
      <c r="C580" s="269">
        <v>204550</v>
      </c>
    </row>
    <row r="581" spans="1:3" ht="14.25" x14ac:dyDescent="0.2">
      <c r="A581" s="267"/>
      <c r="B581" s="268" t="s">
        <v>395</v>
      </c>
      <c r="C581" s="269">
        <v>178364</v>
      </c>
    </row>
    <row r="582" spans="1:3" ht="14.25" x14ac:dyDescent="0.2">
      <c r="A582" s="267"/>
      <c r="B582" s="268" t="s">
        <v>394</v>
      </c>
      <c r="C582" s="269">
        <v>26186</v>
      </c>
    </row>
    <row r="584" spans="1:3" ht="15.75" customHeight="1" x14ac:dyDescent="0.2">
      <c r="A584" s="473" t="s">
        <v>403</v>
      </c>
      <c r="B584" s="474"/>
      <c r="C584" s="474"/>
    </row>
    <row r="585" spans="1:3" s="270" customFormat="1" ht="14.25" x14ac:dyDescent="0.2">
      <c r="A585" s="264"/>
      <c r="B585" s="265" t="s">
        <v>301</v>
      </c>
      <c r="C585" s="266">
        <v>204550</v>
      </c>
    </row>
    <row r="586" spans="1:3" ht="15" x14ac:dyDescent="0.2">
      <c r="B586" s="261" t="s">
        <v>395</v>
      </c>
      <c r="C586" s="262">
        <v>178364</v>
      </c>
    </row>
    <row r="587" spans="1:3" ht="15" x14ac:dyDescent="0.2">
      <c r="B587" s="261" t="s">
        <v>394</v>
      </c>
      <c r="C587" s="262">
        <v>26186</v>
      </c>
    </row>
    <row r="588" spans="1:3" ht="29.25" customHeight="1" x14ac:dyDescent="0.2"/>
    <row r="589" spans="1:3" ht="31.5" customHeight="1" x14ac:dyDescent="0.2">
      <c r="A589" s="475" t="s">
        <v>704</v>
      </c>
      <c r="B589" s="476"/>
      <c r="C589" s="476"/>
    </row>
    <row r="590" spans="1:3" ht="14.25" x14ac:dyDescent="0.2">
      <c r="A590" s="267"/>
      <c r="B590" s="268" t="s">
        <v>301</v>
      </c>
      <c r="C590" s="269">
        <v>5480249</v>
      </c>
    </row>
    <row r="591" spans="1:3" ht="14.25" x14ac:dyDescent="0.2">
      <c r="A591" s="267"/>
      <c r="B591" s="268" t="s">
        <v>395</v>
      </c>
      <c r="C591" s="269">
        <v>2185843</v>
      </c>
    </row>
    <row r="592" spans="1:3" ht="14.25" x14ac:dyDescent="0.2">
      <c r="A592" s="267"/>
      <c r="B592" s="268" t="s">
        <v>394</v>
      </c>
      <c r="C592" s="269">
        <v>382479</v>
      </c>
    </row>
    <row r="593" spans="1:3" ht="14.25" x14ac:dyDescent="0.2">
      <c r="A593" s="267"/>
      <c r="B593" s="268" t="s">
        <v>392</v>
      </c>
      <c r="C593" s="269">
        <v>30470</v>
      </c>
    </row>
    <row r="594" spans="1:3" ht="14.25" x14ac:dyDescent="0.2">
      <c r="A594" s="267"/>
      <c r="B594" s="268" t="s">
        <v>391</v>
      </c>
      <c r="C594" s="269">
        <v>2209922</v>
      </c>
    </row>
    <row r="595" spans="1:3" ht="28.5" x14ac:dyDescent="0.2">
      <c r="A595" s="267"/>
      <c r="B595" s="268" t="s">
        <v>390</v>
      </c>
      <c r="C595" s="269">
        <v>671535</v>
      </c>
    </row>
    <row r="597" spans="1:3" ht="15.75" customHeight="1" x14ac:dyDescent="0.2">
      <c r="A597" s="473" t="s">
        <v>305</v>
      </c>
      <c r="B597" s="474"/>
      <c r="C597" s="474"/>
    </row>
    <row r="598" spans="1:3" s="270" customFormat="1" ht="14.25" x14ac:dyDescent="0.2">
      <c r="A598" s="264"/>
      <c r="B598" s="265" t="s">
        <v>301</v>
      </c>
      <c r="C598" s="266">
        <v>670635</v>
      </c>
    </row>
    <row r="599" spans="1:3" ht="30" x14ac:dyDescent="0.2">
      <c r="B599" s="261" t="s">
        <v>390</v>
      </c>
      <c r="C599" s="262">
        <v>670635</v>
      </c>
    </row>
    <row r="601" spans="1:3" ht="15.75" customHeight="1" x14ac:dyDescent="0.2">
      <c r="A601" s="473" t="s">
        <v>315</v>
      </c>
      <c r="B601" s="474"/>
      <c r="C601" s="474"/>
    </row>
    <row r="602" spans="1:3" s="270" customFormat="1" ht="14.25" x14ac:dyDescent="0.2">
      <c r="A602" s="264"/>
      <c r="B602" s="265" t="s">
        <v>301</v>
      </c>
      <c r="C602" s="266">
        <v>70300</v>
      </c>
    </row>
    <row r="603" spans="1:3" ht="15" x14ac:dyDescent="0.2">
      <c r="B603" s="261" t="s">
        <v>391</v>
      </c>
      <c r="C603" s="262">
        <v>70300</v>
      </c>
    </row>
    <row r="605" spans="1:3" ht="15.75" customHeight="1" x14ac:dyDescent="0.2">
      <c r="A605" s="473" t="s">
        <v>316</v>
      </c>
      <c r="B605" s="474"/>
      <c r="C605" s="474"/>
    </row>
    <row r="606" spans="1:3" s="270" customFormat="1" ht="14.25" x14ac:dyDescent="0.2">
      <c r="A606" s="264"/>
      <c r="B606" s="265" t="s">
        <v>301</v>
      </c>
      <c r="C606" s="266">
        <v>11780</v>
      </c>
    </row>
    <row r="607" spans="1:3" ht="15" x14ac:dyDescent="0.2">
      <c r="B607" s="261" t="s">
        <v>391</v>
      </c>
      <c r="C607" s="262">
        <v>11780</v>
      </c>
    </row>
    <row r="609" spans="1:3" ht="15.75" customHeight="1" x14ac:dyDescent="0.2">
      <c r="A609" s="473" t="s">
        <v>317</v>
      </c>
      <c r="B609" s="474"/>
      <c r="C609" s="474"/>
    </row>
    <row r="610" spans="1:3" s="270" customFormat="1" ht="14.25" x14ac:dyDescent="0.2">
      <c r="A610" s="264"/>
      <c r="B610" s="265" t="s">
        <v>301</v>
      </c>
      <c r="C610" s="266">
        <v>30875</v>
      </c>
    </row>
    <row r="611" spans="1:3" ht="15" x14ac:dyDescent="0.2">
      <c r="B611" s="261" t="s">
        <v>391</v>
      </c>
      <c r="C611" s="262">
        <v>30875</v>
      </c>
    </row>
    <row r="613" spans="1:3" ht="15.75" customHeight="1" x14ac:dyDescent="0.2">
      <c r="A613" s="473" t="s">
        <v>318</v>
      </c>
      <c r="B613" s="474"/>
      <c r="C613" s="474"/>
    </row>
    <row r="614" spans="1:3" s="270" customFormat="1" ht="14.25" x14ac:dyDescent="0.2">
      <c r="A614" s="264"/>
      <c r="B614" s="265" t="s">
        <v>301</v>
      </c>
      <c r="C614" s="266">
        <v>4522</v>
      </c>
    </row>
    <row r="615" spans="1:3" ht="15" x14ac:dyDescent="0.2">
      <c r="B615" s="261" t="s">
        <v>394</v>
      </c>
      <c r="C615" s="262">
        <v>4522</v>
      </c>
    </row>
    <row r="617" spans="1:3" ht="31.5" customHeight="1" x14ac:dyDescent="0.2">
      <c r="A617" s="473" t="s">
        <v>402</v>
      </c>
      <c r="B617" s="474"/>
      <c r="C617" s="474"/>
    </row>
    <row r="618" spans="1:3" s="270" customFormat="1" ht="14.25" x14ac:dyDescent="0.2">
      <c r="A618" s="264"/>
      <c r="B618" s="265" t="s">
        <v>301</v>
      </c>
      <c r="C618" s="266">
        <v>726041</v>
      </c>
    </row>
    <row r="619" spans="1:3" ht="15" x14ac:dyDescent="0.2">
      <c r="B619" s="261" t="s">
        <v>395</v>
      </c>
      <c r="C619" s="262">
        <v>582372</v>
      </c>
    </row>
    <row r="620" spans="1:3" ht="15" x14ac:dyDescent="0.2">
      <c r="B620" s="261" t="s">
        <v>394</v>
      </c>
      <c r="C620" s="262">
        <v>9993</v>
      </c>
    </row>
    <row r="621" spans="1:3" ht="15" x14ac:dyDescent="0.2">
      <c r="B621" s="261" t="s">
        <v>392</v>
      </c>
      <c r="C621" s="262">
        <v>1590</v>
      </c>
    </row>
    <row r="622" spans="1:3" ht="15" x14ac:dyDescent="0.2">
      <c r="B622" s="261" t="s">
        <v>391</v>
      </c>
      <c r="C622" s="262">
        <v>131186</v>
      </c>
    </row>
    <row r="623" spans="1:3" ht="30" x14ac:dyDescent="0.2">
      <c r="B623" s="261" t="s">
        <v>390</v>
      </c>
      <c r="C623" s="262">
        <v>900</v>
      </c>
    </row>
    <row r="625" spans="1:3" ht="15.75" customHeight="1" x14ac:dyDescent="0.2">
      <c r="A625" s="473" t="s">
        <v>633</v>
      </c>
      <c r="B625" s="474"/>
      <c r="C625" s="474"/>
    </row>
    <row r="626" spans="1:3" s="270" customFormat="1" ht="14.25" x14ac:dyDescent="0.2">
      <c r="A626" s="264"/>
      <c r="B626" s="265" t="s">
        <v>301</v>
      </c>
      <c r="C626" s="266">
        <v>104842</v>
      </c>
    </row>
    <row r="627" spans="1:3" ht="15" x14ac:dyDescent="0.2">
      <c r="B627" s="261" t="s">
        <v>395</v>
      </c>
      <c r="C627" s="262">
        <v>75861</v>
      </c>
    </row>
    <row r="628" spans="1:3" ht="15" x14ac:dyDescent="0.2">
      <c r="B628" s="261" t="s">
        <v>394</v>
      </c>
      <c r="C628" s="262">
        <v>28981</v>
      </c>
    </row>
    <row r="630" spans="1:3" ht="15.75" customHeight="1" x14ac:dyDescent="0.2">
      <c r="A630" s="473" t="s">
        <v>401</v>
      </c>
      <c r="B630" s="474"/>
      <c r="C630" s="474"/>
    </row>
    <row r="631" spans="1:3" s="270" customFormat="1" ht="14.25" x14ac:dyDescent="0.2">
      <c r="A631" s="264"/>
      <c r="B631" s="265" t="s">
        <v>301</v>
      </c>
      <c r="C631" s="266">
        <v>87599</v>
      </c>
    </row>
    <row r="632" spans="1:3" ht="15" x14ac:dyDescent="0.2">
      <c r="B632" s="261" t="s">
        <v>395</v>
      </c>
      <c r="C632" s="262">
        <v>69830</v>
      </c>
    </row>
    <row r="633" spans="1:3" ht="15" x14ac:dyDescent="0.2">
      <c r="B633" s="261" t="s">
        <v>394</v>
      </c>
      <c r="C633" s="262">
        <v>15169</v>
      </c>
    </row>
    <row r="634" spans="1:3" ht="15" x14ac:dyDescent="0.2">
      <c r="B634" s="261" t="s">
        <v>392</v>
      </c>
      <c r="C634" s="262">
        <v>2600</v>
      </c>
    </row>
    <row r="636" spans="1:3" ht="15.75" customHeight="1" x14ac:dyDescent="0.2">
      <c r="A636" s="473" t="s">
        <v>400</v>
      </c>
      <c r="B636" s="474"/>
      <c r="C636" s="474"/>
    </row>
    <row r="637" spans="1:3" s="270" customFormat="1" ht="14.25" x14ac:dyDescent="0.2">
      <c r="A637" s="264"/>
      <c r="B637" s="265" t="s">
        <v>301</v>
      </c>
      <c r="C637" s="266">
        <v>66034</v>
      </c>
    </row>
    <row r="638" spans="1:3" ht="15" x14ac:dyDescent="0.2">
      <c r="B638" s="261" t="s">
        <v>395</v>
      </c>
      <c r="C638" s="262">
        <v>45876</v>
      </c>
    </row>
    <row r="639" spans="1:3" ht="15" x14ac:dyDescent="0.2">
      <c r="B639" s="261" t="s">
        <v>394</v>
      </c>
      <c r="C639" s="262">
        <v>20158</v>
      </c>
    </row>
    <row r="641" spans="1:3" ht="15.75" customHeight="1" x14ac:dyDescent="0.2">
      <c r="A641" s="473" t="s">
        <v>330</v>
      </c>
      <c r="B641" s="474"/>
      <c r="C641" s="474"/>
    </row>
    <row r="642" spans="1:3" s="270" customFormat="1" ht="14.25" x14ac:dyDescent="0.2">
      <c r="A642" s="264"/>
      <c r="B642" s="265" t="s">
        <v>301</v>
      </c>
      <c r="C642" s="266">
        <v>117166</v>
      </c>
    </row>
    <row r="643" spans="1:3" ht="15" x14ac:dyDescent="0.2">
      <c r="B643" s="261" t="s">
        <v>395</v>
      </c>
      <c r="C643" s="262">
        <v>92054</v>
      </c>
    </row>
    <row r="644" spans="1:3" ht="15" x14ac:dyDescent="0.2">
      <c r="B644" s="261" t="s">
        <v>394</v>
      </c>
      <c r="C644" s="262">
        <v>21032</v>
      </c>
    </row>
    <row r="645" spans="1:3" ht="15" x14ac:dyDescent="0.2">
      <c r="B645" s="261" t="s">
        <v>392</v>
      </c>
      <c r="C645" s="262">
        <v>4080</v>
      </c>
    </row>
    <row r="647" spans="1:3" ht="47.25" customHeight="1" x14ac:dyDescent="0.2">
      <c r="A647" s="473" t="s">
        <v>700</v>
      </c>
      <c r="B647" s="474"/>
      <c r="C647" s="474"/>
    </row>
    <row r="648" spans="1:3" s="270" customFormat="1" ht="14.25" x14ac:dyDescent="0.2">
      <c r="A648" s="264"/>
      <c r="B648" s="265" t="s">
        <v>301</v>
      </c>
      <c r="C648" s="266">
        <v>22385</v>
      </c>
    </row>
    <row r="649" spans="1:3" ht="15" x14ac:dyDescent="0.2">
      <c r="B649" s="261" t="s">
        <v>395</v>
      </c>
      <c r="C649" s="262">
        <v>5615</v>
      </c>
    </row>
    <row r="650" spans="1:3" ht="15" x14ac:dyDescent="0.2">
      <c r="B650" s="261" t="s">
        <v>394</v>
      </c>
      <c r="C650" s="262">
        <v>1620</v>
      </c>
    </row>
    <row r="651" spans="1:3" ht="15" x14ac:dyDescent="0.2">
      <c r="B651" s="261" t="s">
        <v>391</v>
      </c>
      <c r="C651" s="262">
        <v>15150</v>
      </c>
    </row>
    <row r="653" spans="1:3" ht="15.75" customHeight="1" x14ac:dyDescent="0.2">
      <c r="A653" s="473" t="s">
        <v>352</v>
      </c>
      <c r="B653" s="474"/>
      <c r="C653" s="474"/>
    </row>
    <row r="654" spans="1:3" s="270" customFormat="1" ht="14.25" x14ac:dyDescent="0.2">
      <c r="A654" s="264"/>
      <c r="B654" s="265" t="s">
        <v>301</v>
      </c>
      <c r="C654" s="266">
        <v>265423</v>
      </c>
    </row>
    <row r="655" spans="1:3" ht="15" x14ac:dyDescent="0.2">
      <c r="B655" s="261" t="s">
        <v>395</v>
      </c>
      <c r="C655" s="262">
        <v>96314</v>
      </c>
    </row>
    <row r="656" spans="1:3" ht="15" x14ac:dyDescent="0.2">
      <c r="B656" s="261" t="s">
        <v>394</v>
      </c>
      <c r="C656" s="262">
        <v>9622</v>
      </c>
    </row>
    <row r="657" spans="1:3" ht="15" x14ac:dyDescent="0.2">
      <c r="B657" s="261" t="s">
        <v>391</v>
      </c>
      <c r="C657" s="262">
        <v>159487</v>
      </c>
    </row>
    <row r="659" spans="1:3" ht="15.75" customHeight="1" x14ac:dyDescent="0.2">
      <c r="A659" s="473" t="s">
        <v>331</v>
      </c>
      <c r="B659" s="474"/>
      <c r="C659" s="474"/>
    </row>
    <row r="660" spans="1:3" s="270" customFormat="1" ht="14.25" x14ac:dyDescent="0.2">
      <c r="A660" s="264"/>
      <c r="B660" s="265" t="s">
        <v>301</v>
      </c>
      <c r="C660" s="266">
        <v>311744</v>
      </c>
    </row>
    <row r="661" spans="1:3" ht="15" x14ac:dyDescent="0.2">
      <c r="B661" s="261" t="s">
        <v>391</v>
      </c>
      <c r="C661" s="262">
        <v>311744</v>
      </c>
    </row>
    <row r="663" spans="1:3" ht="31.5" customHeight="1" x14ac:dyDescent="0.2">
      <c r="A663" s="473" t="s">
        <v>351</v>
      </c>
      <c r="B663" s="474"/>
      <c r="C663" s="474"/>
    </row>
    <row r="664" spans="1:3" s="270" customFormat="1" ht="14.25" x14ac:dyDescent="0.2">
      <c r="A664" s="264"/>
      <c r="B664" s="265" t="s">
        <v>301</v>
      </c>
      <c r="C664" s="266">
        <v>1022380</v>
      </c>
    </row>
    <row r="665" spans="1:3" ht="15" x14ac:dyDescent="0.2">
      <c r="B665" s="261" t="s">
        <v>395</v>
      </c>
      <c r="C665" s="262">
        <v>8425</v>
      </c>
    </row>
    <row r="666" spans="1:3" ht="15" x14ac:dyDescent="0.2">
      <c r="B666" s="261" t="s">
        <v>391</v>
      </c>
      <c r="C666" s="262">
        <v>1013955</v>
      </c>
    </row>
    <row r="668" spans="1:3" ht="15.75" customHeight="1" x14ac:dyDescent="0.2">
      <c r="A668" s="473" t="s">
        <v>333</v>
      </c>
      <c r="B668" s="474"/>
      <c r="C668" s="474"/>
    </row>
    <row r="669" spans="1:3" s="270" customFormat="1" ht="14.25" x14ac:dyDescent="0.2">
      <c r="A669" s="264"/>
      <c r="B669" s="265" t="s">
        <v>301</v>
      </c>
      <c r="C669" s="266">
        <v>369196</v>
      </c>
    </row>
    <row r="670" spans="1:3" ht="15" x14ac:dyDescent="0.2">
      <c r="B670" s="261" t="s">
        <v>391</v>
      </c>
      <c r="C670" s="262">
        <v>369196</v>
      </c>
    </row>
    <row r="672" spans="1:3" ht="15.75" customHeight="1" x14ac:dyDescent="0.2">
      <c r="A672" s="473" t="s">
        <v>334</v>
      </c>
      <c r="B672" s="474"/>
      <c r="C672" s="474"/>
    </row>
    <row r="673" spans="1:3" s="270" customFormat="1" ht="14.25" x14ac:dyDescent="0.2">
      <c r="A673" s="264"/>
      <c r="B673" s="265" t="s">
        <v>301</v>
      </c>
      <c r="C673" s="266">
        <v>8580</v>
      </c>
    </row>
    <row r="674" spans="1:3" ht="15" x14ac:dyDescent="0.2">
      <c r="B674" s="261" t="s">
        <v>394</v>
      </c>
      <c r="C674" s="262">
        <v>1295</v>
      </c>
    </row>
    <row r="675" spans="1:3" ht="15" x14ac:dyDescent="0.2">
      <c r="B675" s="261" t="s">
        <v>391</v>
      </c>
      <c r="C675" s="262">
        <v>7285</v>
      </c>
    </row>
    <row r="677" spans="1:3" ht="31.5" customHeight="1" x14ac:dyDescent="0.2">
      <c r="A677" s="473" t="s">
        <v>399</v>
      </c>
      <c r="B677" s="474"/>
      <c r="C677" s="474"/>
    </row>
    <row r="678" spans="1:3" s="270" customFormat="1" ht="14.25" x14ac:dyDescent="0.2">
      <c r="A678" s="264"/>
      <c r="B678" s="265" t="s">
        <v>301</v>
      </c>
      <c r="C678" s="266">
        <v>73329</v>
      </c>
    </row>
    <row r="679" spans="1:3" ht="15" x14ac:dyDescent="0.2">
      <c r="B679" s="261" t="s">
        <v>391</v>
      </c>
      <c r="C679" s="262">
        <v>73329</v>
      </c>
    </row>
    <row r="681" spans="1:3" ht="15.75" customHeight="1" x14ac:dyDescent="0.2">
      <c r="A681" s="473" t="s">
        <v>335</v>
      </c>
      <c r="B681" s="474"/>
      <c r="C681" s="474"/>
    </row>
    <row r="682" spans="1:3" s="270" customFormat="1" ht="14.25" x14ac:dyDescent="0.2">
      <c r="A682" s="264"/>
      <c r="B682" s="265" t="s">
        <v>301</v>
      </c>
      <c r="C682" s="266">
        <v>88183</v>
      </c>
    </row>
    <row r="683" spans="1:3" ht="15" x14ac:dyDescent="0.2">
      <c r="B683" s="261" t="s">
        <v>395</v>
      </c>
      <c r="C683" s="262">
        <v>48224</v>
      </c>
    </row>
    <row r="684" spans="1:3" ht="15" x14ac:dyDescent="0.2">
      <c r="B684" s="261" t="s">
        <v>394</v>
      </c>
      <c r="C684" s="262">
        <v>39959</v>
      </c>
    </row>
    <row r="686" spans="1:3" ht="15.75" customHeight="1" x14ac:dyDescent="0.2">
      <c r="A686" s="473" t="s">
        <v>336</v>
      </c>
      <c r="B686" s="474"/>
      <c r="C686" s="474"/>
    </row>
    <row r="687" spans="1:3" s="270" customFormat="1" ht="14.25" x14ac:dyDescent="0.2">
      <c r="A687" s="264"/>
      <c r="B687" s="265" t="s">
        <v>301</v>
      </c>
      <c r="C687" s="266">
        <v>15573</v>
      </c>
    </row>
    <row r="688" spans="1:3" ht="15" x14ac:dyDescent="0.2">
      <c r="B688" s="261" t="s">
        <v>395</v>
      </c>
      <c r="C688" s="262">
        <v>8680</v>
      </c>
    </row>
    <row r="689" spans="1:3" ht="15" x14ac:dyDescent="0.2">
      <c r="B689" s="261" t="s">
        <v>394</v>
      </c>
      <c r="C689" s="262">
        <v>6893</v>
      </c>
    </row>
    <row r="691" spans="1:3" ht="15.75" customHeight="1" x14ac:dyDescent="0.2">
      <c r="A691" s="473" t="s">
        <v>634</v>
      </c>
      <c r="B691" s="474"/>
      <c r="C691" s="474"/>
    </row>
    <row r="692" spans="1:3" s="270" customFormat="1" ht="14.25" x14ac:dyDescent="0.2">
      <c r="A692" s="264"/>
      <c r="B692" s="265" t="s">
        <v>301</v>
      </c>
      <c r="C692" s="266">
        <v>257476</v>
      </c>
    </row>
    <row r="693" spans="1:3" ht="15" x14ac:dyDescent="0.2">
      <c r="B693" s="261" t="s">
        <v>395</v>
      </c>
      <c r="C693" s="262">
        <v>179807</v>
      </c>
    </row>
    <row r="694" spans="1:3" ht="15" x14ac:dyDescent="0.2">
      <c r="B694" s="261" t="s">
        <v>394</v>
      </c>
      <c r="C694" s="262">
        <v>74284</v>
      </c>
    </row>
    <row r="695" spans="1:3" ht="15" x14ac:dyDescent="0.2">
      <c r="B695" s="261" t="s">
        <v>392</v>
      </c>
      <c r="C695" s="262">
        <v>2600</v>
      </c>
    </row>
    <row r="696" spans="1:3" ht="15" x14ac:dyDescent="0.2">
      <c r="B696" s="261" t="s">
        <v>391</v>
      </c>
      <c r="C696" s="262">
        <v>785</v>
      </c>
    </row>
    <row r="698" spans="1:3" ht="15.75" customHeight="1" x14ac:dyDescent="0.2">
      <c r="A698" s="473" t="s">
        <v>398</v>
      </c>
      <c r="B698" s="474"/>
      <c r="C698" s="474"/>
    </row>
    <row r="699" spans="1:3" s="270" customFormat="1" ht="14.25" x14ac:dyDescent="0.2">
      <c r="A699" s="264"/>
      <c r="B699" s="265" t="s">
        <v>301</v>
      </c>
      <c r="C699" s="266">
        <v>1141336</v>
      </c>
    </row>
    <row r="700" spans="1:3" ht="15" x14ac:dyDescent="0.2">
      <c r="B700" s="261" t="s">
        <v>395</v>
      </c>
      <c r="C700" s="262">
        <v>972785</v>
      </c>
    </row>
    <row r="701" spans="1:3" ht="15" x14ac:dyDescent="0.2">
      <c r="B701" s="261" t="s">
        <v>394</v>
      </c>
      <c r="C701" s="262">
        <v>148951</v>
      </c>
    </row>
    <row r="702" spans="1:3" ht="15" x14ac:dyDescent="0.2">
      <c r="B702" s="261" t="s">
        <v>392</v>
      </c>
      <c r="C702" s="262">
        <v>19600</v>
      </c>
    </row>
    <row r="704" spans="1:3" ht="15.75" customHeight="1" x14ac:dyDescent="0.2">
      <c r="A704" s="473" t="s">
        <v>337</v>
      </c>
      <c r="B704" s="474"/>
      <c r="C704" s="474"/>
    </row>
    <row r="705" spans="1:3" s="270" customFormat="1" ht="14.25" x14ac:dyDescent="0.2">
      <c r="A705" s="264"/>
      <c r="B705" s="265" t="s">
        <v>301</v>
      </c>
      <c r="C705" s="266">
        <v>14850</v>
      </c>
    </row>
    <row r="706" spans="1:3" ht="15" x14ac:dyDescent="0.2">
      <c r="B706" s="261" t="s">
        <v>391</v>
      </c>
      <c r="C706" s="262">
        <v>14850</v>
      </c>
    </row>
    <row r="707" spans="1:3" ht="31.5" customHeight="1" x14ac:dyDescent="0.2"/>
    <row r="708" spans="1:3" ht="15.75" customHeight="1" x14ac:dyDescent="0.2">
      <c r="A708" s="475" t="s">
        <v>804</v>
      </c>
      <c r="B708" s="476"/>
      <c r="C708" s="476"/>
    </row>
    <row r="709" spans="1:3" ht="14.25" x14ac:dyDescent="0.2">
      <c r="A709" s="267"/>
      <c r="B709" s="268" t="s">
        <v>301</v>
      </c>
      <c r="C709" s="269">
        <f>10244078-30000</f>
        <v>10214078</v>
      </c>
    </row>
    <row r="710" spans="1:3" ht="14.25" x14ac:dyDescent="0.2">
      <c r="A710" s="267"/>
      <c r="B710" s="268" t="s">
        <v>339</v>
      </c>
      <c r="C710" s="269">
        <v>9003362</v>
      </c>
    </row>
    <row r="711" spans="1:3" ht="28.5" x14ac:dyDescent="0.2">
      <c r="A711" s="267"/>
      <c r="B711" s="268" t="s">
        <v>635</v>
      </c>
      <c r="C711" s="269">
        <v>339696</v>
      </c>
    </row>
    <row r="712" spans="1:3" ht="14.25" x14ac:dyDescent="0.2">
      <c r="A712" s="267"/>
      <c r="B712" s="268" t="s">
        <v>340</v>
      </c>
      <c r="C712" s="269">
        <f>901020-30000</f>
        <v>871020</v>
      </c>
    </row>
    <row r="713" spans="1:3" x14ac:dyDescent="0.2">
      <c r="A713" s="272"/>
      <c r="B713" s="272"/>
      <c r="C713" s="272"/>
    </row>
    <row r="714" spans="1:3" ht="15.75" customHeight="1" x14ac:dyDescent="0.2">
      <c r="A714" s="473" t="s">
        <v>397</v>
      </c>
      <c r="B714" s="474"/>
      <c r="C714" s="474"/>
    </row>
    <row r="715" spans="1:3" ht="15" x14ac:dyDescent="0.2">
      <c r="B715" s="261" t="s">
        <v>339</v>
      </c>
      <c r="C715" s="262">
        <v>9003362</v>
      </c>
    </row>
    <row r="717" spans="1:3" ht="15.75" customHeight="1" x14ac:dyDescent="0.2">
      <c r="A717" s="473" t="s">
        <v>396</v>
      </c>
      <c r="B717" s="474"/>
      <c r="C717" s="474"/>
    </row>
    <row r="718" spans="1:3" ht="15" x14ac:dyDescent="0.2">
      <c r="B718" s="261" t="s">
        <v>635</v>
      </c>
      <c r="C718" s="262">
        <v>339696</v>
      </c>
    </row>
    <row r="720" spans="1:3" ht="15.75" customHeight="1" x14ac:dyDescent="0.2">
      <c r="A720" s="473" t="s">
        <v>299</v>
      </c>
      <c r="B720" s="474"/>
      <c r="C720" s="474"/>
    </row>
    <row r="721" spans="1:6" ht="14.25" x14ac:dyDescent="0.2">
      <c r="B721" s="265" t="s">
        <v>301</v>
      </c>
      <c r="C721" s="266">
        <v>101121156</v>
      </c>
    </row>
    <row r="722" spans="1:6" ht="14.25" x14ac:dyDescent="0.2">
      <c r="B722" s="265" t="s">
        <v>395</v>
      </c>
      <c r="C722" s="266">
        <v>33901215</v>
      </c>
    </row>
    <row r="723" spans="1:6" ht="14.25" x14ac:dyDescent="0.2">
      <c r="B723" s="265" t="s">
        <v>394</v>
      </c>
      <c r="C723" s="266">
        <v>16862290</v>
      </c>
    </row>
    <row r="724" spans="1:6" ht="14.25" x14ac:dyDescent="0.2">
      <c r="B724" s="265" t="s">
        <v>393</v>
      </c>
      <c r="C724" s="266">
        <f>7710727+30000</f>
        <v>7740727</v>
      </c>
    </row>
    <row r="725" spans="1:6" ht="14.25" x14ac:dyDescent="0.2">
      <c r="B725" s="265" t="s">
        <v>699</v>
      </c>
      <c r="C725" s="266">
        <v>50000</v>
      </c>
    </row>
    <row r="726" spans="1:6" ht="14.25" x14ac:dyDescent="0.2">
      <c r="B726" s="265" t="s">
        <v>392</v>
      </c>
      <c r="C726" s="266">
        <v>26930109</v>
      </c>
    </row>
    <row r="727" spans="1:6" ht="14.25" x14ac:dyDescent="0.2">
      <c r="B727" s="265" t="s">
        <v>391</v>
      </c>
      <c r="C727" s="266">
        <v>2687197</v>
      </c>
    </row>
    <row r="728" spans="1:6" ht="28.5" x14ac:dyDescent="0.2">
      <c r="B728" s="265" t="s">
        <v>390</v>
      </c>
      <c r="C728" s="266">
        <v>2735540</v>
      </c>
    </row>
    <row r="729" spans="1:6" ht="14.25" x14ac:dyDescent="0.2">
      <c r="B729" s="265" t="s">
        <v>339</v>
      </c>
      <c r="C729" s="266">
        <v>9003362</v>
      </c>
    </row>
    <row r="730" spans="1:6" ht="28.5" x14ac:dyDescent="0.2">
      <c r="B730" s="265" t="s">
        <v>635</v>
      </c>
      <c r="C730" s="266">
        <v>339696</v>
      </c>
    </row>
    <row r="731" spans="1:6" ht="14.25" x14ac:dyDescent="0.2">
      <c r="B731" s="265" t="s">
        <v>340</v>
      </c>
      <c r="C731" s="266">
        <f>901020-30000</f>
        <v>871020</v>
      </c>
    </row>
    <row r="732" spans="1:6" x14ac:dyDescent="0.2">
      <c r="C732" s="263"/>
    </row>
    <row r="736" spans="1:6" ht="15.75" x14ac:dyDescent="0.25">
      <c r="A736" s="60" t="s">
        <v>25</v>
      </c>
      <c r="B736" s="60"/>
      <c r="C736" s="98" t="s">
        <v>26</v>
      </c>
      <c r="D736" s="97"/>
      <c r="F736" s="97"/>
    </row>
  </sheetData>
  <mergeCells count="137">
    <mergeCell ref="A17:C17"/>
    <mergeCell ref="B6:C6"/>
    <mergeCell ref="A7:B7"/>
    <mergeCell ref="A8:C8"/>
    <mergeCell ref="A55:C55"/>
    <mergeCell ref="A59:C59"/>
    <mergeCell ref="A50:C50"/>
    <mergeCell ref="A45:C45"/>
    <mergeCell ref="A40:C40"/>
    <mergeCell ref="A31:C31"/>
    <mergeCell ref="A35:C35"/>
    <mergeCell ref="A27:C27"/>
    <mergeCell ref="A23:C23"/>
    <mergeCell ref="A95:C95"/>
    <mergeCell ref="A99:C99"/>
    <mergeCell ref="A91:C91"/>
    <mergeCell ref="A87:C87"/>
    <mergeCell ref="A79:C79"/>
    <mergeCell ref="A83:C83"/>
    <mergeCell ref="A73:C73"/>
    <mergeCell ref="A67:C67"/>
    <mergeCell ref="A63:C63"/>
    <mergeCell ref="A144:C144"/>
    <mergeCell ref="A148:C148"/>
    <mergeCell ref="A140:C140"/>
    <mergeCell ref="A132:C132"/>
    <mergeCell ref="A127:C127"/>
    <mergeCell ref="A117:C117"/>
    <mergeCell ref="A121:C121"/>
    <mergeCell ref="A111:C111"/>
    <mergeCell ref="A105:C105"/>
    <mergeCell ref="A197:C197"/>
    <mergeCell ref="A191:C191"/>
    <mergeCell ref="A187:C187"/>
    <mergeCell ref="A182:C182"/>
    <mergeCell ref="A176:C176"/>
    <mergeCell ref="A167:C167"/>
    <mergeCell ref="A171:C171"/>
    <mergeCell ref="A162:C162"/>
    <mergeCell ref="A153:C153"/>
    <mergeCell ref="A157:C157"/>
    <mergeCell ref="A234:C234"/>
    <mergeCell ref="A230:C230"/>
    <mergeCell ref="A222:C222"/>
    <mergeCell ref="A226:C226"/>
    <mergeCell ref="A218:C218"/>
    <mergeCell ref="A214:C214"/>
    <mergeCell ref="A206:C206"/>
    <mergeCell ref="A210:C210"/>
    <mergeCell ref="A201:C201"/>
    <mergeCell ref="A277:C277"/>
    <mergeCell ref="A270:C270"/>
    <mergeCell ref="A264:C264"/>
    <mergeCell ref="A254:C254"/>
    <mergeCell ref="A258:C258"/>
    <mergeCell ref="A250:C250"/>
    <mergeCell ref="A246:C246"/>
    <mergeCell ref="A238:C238"/>
    <mergeCell ref="A242:C242"/>
    <mergeCell ref="A328:C328"/>
    <mergeCell ref="A332:C332"/>
    <mergeCell ref="A322:C322"/>
    <mergeCell ref="A314:C314"/>
    <mergeCell ref="A308:C308"/>
    <mergeCell ref="A302:C302"/>
    <mergeCell ref="A298:C298"/>
    <mergeCell ref="A291:C291"/>
    <mergeCell ref="A284:C284"/>
    <mergeCell ref="A381:C381"/>
    <mergeCell ref="A376:C376"/>
    <mergeCell ref="A370:C370"/>
    <mergeCell ref="A363:C363"/>
    <mergeCell ref="A357:C357"/>
    <mergeCell ref="A351:C351"/>
    <mergeCell ref="A345:C345"/>
    <mergeCell ref="A341:C341"/>
    <mergeCell ref="A336:C336"/>
    <mergeCell ref="A438:C438"/>
    <mergeCell ref="A431:C431"/>
    <mergeCell ref="A425:C425"/>
    <mergeCell ref="A416:C416"/>
    <mergeCell ref="A410:C410"/>
    <mergeCell ref="A404:C404"/>
    <mergeCell ref="A400:C400"/>
    <mergeCell ref="A394:C394"/>
    <mergeCell ref="A388:C388"/>
    <mergeCell ref="A499:C499"/>
    <mergeCell ref="A490:C490"/>
    <mergeCell ref="A482:C482"/>
    <mergeCell ref="A475:C475"/>
    <mergeCell ref="A467:C467"/>
    <mergeCell ref="A459:C459"/>
    <mergeCell ref="A453:C453"/>
    <mergeCell ref="A448:C448"/>
    <mergeCell ref="A443:C443"/>
    <mergeCell ref="A556:C556"/>
    <mergeCell ref="A550:C550"/>
    <mergeCell ref="A544:C544"/>
    <mergeCell ref="A538:C538"/>
    <mergeCell ref="A531:C531"/>
    <mergeCell ref="A525:C525"/>
    <mergeCell ref="A519:C519"/>
    <mergeCell ref="A511:C511"/>
    <mergeCell ref="A504:C504"/>
    <mergeCell ref="A605:C605"/>
    <mergeCell ref="A597:C597"/>
    <mergeCell ref="A601:C601"/>
    <mergeCell ref="A589:C589"/>
    <mergeCell ref="A584:C584"/>
    <mergeCell ref="A575:C575"/>
    <mergeCell ref="A579:C579"/>
    <mergeCell ref="A570:C570"/>
    <mergeCell ref="A563:C563"/>
    <mergeCell ref="A5:C5"/>
    <mergeCell ref="A717:C717"/>
    <mergeCell ref="A720:C720"/>
    <mergeCell ref="A714:C714"/>
    <mergeCell ref="A704:C704"/>
    <mergeCell ref="A708:C708"/>
    <mergeCell ref="A698:C698"/>
    <mergeCell ref="A691:C691"/>
    <mergeCell ref="A686:C686"/>
    <mergeCell ref="A677:C677"/>
    <mergeCell ref="A681:C681"/>
    <mergeCell ref="A668:C668"/>
    <mergeCell ref="A672:C672"/>
    <mergeCell ref="A663:C663"/>
    <mergeCell ref="A659:C659"/>
    <mergeCell ref="A653:C653"/>
    <mergeCell ref="A647:C647"/>
    <mergeCell ref="A641:C641"/>
    <mergeCell ref="A636:C636"/>
    <mergeCell ref="A630:C630"/>
    <mergeCell ref="A625:C625"/>
    <mergeCell ref="A613:C613"/>
    <mergeCell ref="A617:C617"/>
    <mergeCell ref="A609:C609"/>
  </mergeCells>
  <pageMargins left="0.98425196850393704" right="0.98425196850393704" top="0.39370078740157483" bottom="0.39370078740157483" header="0.19685039370078741" footer="0.19685039370078741"/>
  <pageSetup paperSize="9" scale="93" fitToHeight="0" pageOrder="overThenDown" orientation="portrait" r:id="rId1"/>
  <headerFooter>
    <oddFooter>&amp;R&amp;P</oddFooter>
  </headerFooter>
  <rowBreaks count="1" manualBreakCount="1">
    <brk id="5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8"/>
  <sheetViews>
    <sheetView zoomScaleNormal="100" zoomScaleSheetLayoutView="8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M3" sqref="M3"/>
    </sheetView>
  </sheetViews>
  <sheetFormatPr defaultRowHeight="12.75" x14ac:dyDescent="0.2"/>
  <cols>
    <col min="1" max="1" width="5" style="95" customWidth="1"/>
    <col min="2" max="2" width="13.7109375" style="59" customWidth="1"/>
    <col min="3" max="3" width="42.140625" style="99" customWidth="1"/>
    <col min="4" max="4" width="5.42578125" style="99" customWidth="1"/>
    <col min="5" max="5" width="15.42578125" style="99" customWidth="1"/>
    <col min="6" max="6" width="11.7109375" style="95" customWidth="1"/>
    <col min="7" max="7" width="11.5703125" style="95" customWidth="1"/>
    <col min="8" max="8" width="13.140625" style="99" customWidth="1"/>
    <col min="9" max="9" width="11.7109375" style="99" customWidth="1"/>
    <col min="10" max="10" width="12.5703125" style="99" customWidth="1"/>
    <col min="11" max="11" width="13" style="99" customWidth="1"/>
    <col min="12" max="12" width="12.28515625" style="99" customWidth="1"/>
    <col min="13" max="13" width="12.7109375" style="99" customWidth="1"/>
    <col min="14" max="14" width="12" style="99" customWidth="1"/>
    <col min="15" max="15" width="11.85546875" style="99" customWidth="1"/>
    <col min="16" max="16" width="12.42578125" style="95" customWidth="1"/>
    <col min="17" max="17" width="12" style="95" customWidth="1"/>
    <col min="18" max="18" width="11.85546875" style="95" customWidth="1"/>
    <col min="19" max="19" width="12.140625" style="95" customWidth="1"/>
    <col min="20" max="20" width="12" style="95" customWidth="1"/>
    <col min="21" max="21" width="12.140625" style="95" customWidth="1"/>
    <col min="22" max="23" width="13" style="95" customWidth="1"/>
    <col min="24" max="24" width="14.7109375" style="95" customWidth="1"/>
    <col min="25" max="16384" width="9.140625" style="95"/>
  </cols>
  <sheetData>
    <row r="1" spans="1:24" x14ac:dyDescent="0.2">
      <c r="B1" s="121"/>
      <c r="C1" s="122"/>
      <c r="D1" s="122"/>
      <c r="E1" s="122"/>
      <c r="F1" s="123"/>
      <c r="G1" s="123"/>
      <c r="L1" s="416" t="s">
        <v>421</v>
      </c>
    </row>
    <row r="2" spans="1:24" x14ac:dyDescent="0.2">
      <c r="B2" s="121"/>
      <c r="C2" s="122"/>
      <c r="D2" s="122"/>
      <c r="E2" s="122"/>
      <c r="F2" s="123"/>
      <c r="G2" s="123"/>
      <c r="L2" s="417" t="s">
        <v>866</v>
      </c>
    </row>
    <row r="3" spans="1:24" ht="15.75" x14ac:dyDescent="0.25">
      <c r="A3" s="568" t="s">
        <v>472</v>
      </c>
      <c r="B3" s="568"/>
      <c r="C3" s="568"/>
      <c r="D3" s="568"/>
      <c r="E3" s="568"/>
      <c r="F3" s="568"/>
      <c r="G3" s="568"/>
      <c r="L3" s="417" t="s">
        <v>868</v>
      </c>
    </row>
    <row r="4" spans="1:24" x14ac:dyDescent="0.2">
      <c r="H4" s="122"/>
      <c r="I4" s="122"/>
      <c r="J4" s="122"/>
      <c r="K4" s="122"/>
      <c r="L4" s="122"/>
      <c r="M4" s="122"/>
      <c r="N4" s="122"/>
      <c r="O4" s="122"/>
      <c r="P4" s="123"/>
      <c r="Q4" s="123"/>
      <c r="R4" s="123"/>
      <c r="S4" s="123"/>
      <c r="T4" s="123"/>
      <c r="U4" s="123"/>
      <c r="V4" s="123"/>
      <c r="W4" s="123"/>
      <c r="X4" s="123"/>
    </row>
    <row r="5" spans="1:24" s="99" customFormat="1" x14ac:dyDescent="0.2">
      <c r="A5" s="569" t="s">
        <v>422</v>
      </c>
      <c r="B5" s="571" t="s">
        <v>423</v>
      </c>
      <c r="C5" s="573" t="s">
        <v>424</v>
      </c>
      <c r="D5" s="575" t="s">
        <v>853</v>
      </c>
      <c r="E5" s="279" t="s">
        <v>425</v>
      </c>
      <c r="F5" s="279" t="s">
        <v>426</v>
      </c>
      <c r="G5" s="279" t="s">
        <v>427</v>
      </c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8" t="s">
        <v>428</v>
      </c>
    </row>
    <row r="6" spans="1:24" s="99" customFormat="1" x14ac:dyDescent="0.2">
      <c r="A6" s="570"/>
      <c r="B6" s="572"/>
      <c r="C6" s="574"/>
      <c r="D6" s="576"/>
      <c r="E6" s="280" t="s">
        <v>429</v>
      </c>
      <c r="F6" s="280" t="s">
        <v>430</v>
      </c>
      <c r="G6" s="280" t="s">
        <v>269</v>
      </c>
      <c r="H6" s="280">
        <v>2021</v>
      </c>
      <c r="I6" s="280">
        <f>SUM(H6+1)</f>
        <v>2022</v>
      </c>
      <c r="J6" s="280">
        <f t="shared" ref="J6:U6" si="0">SUM(I6+1)</f>
        <v>2023</v>
      </c>
      <c r="K6" s="280">
        <f t="shared" si="0"/>
        <v>2024</v>
      </c>
      <c r="L6" s="280">
        <f t="shared" si="0"/>
        <v>2025</v>
      </c>
      <c r="M6" s="280">
        <f t="shared" si="0"/>
        <v>2026</v>
      </c>
      <c r="N6" s="280">
        <f t="shared" si="0"/>
        <v>2027</v>
      </c>
      <c r="O6" s="280">
        <f t="shared" si="0"/>
        <v>2028</v>
      </c>
      <c r="P6" s="280">
        <f t="shared" si="0"/>
        <v>2029</v>
      </c>
      <c r="Q6" s="280">
        <f t="shared" si="0"/>
        <v>2030</v>
      </c>
      <c r="R6" s="280">
        <f t="shared" si="0"/>
        <v>2031</v>
      </c>
      <c r="S6" s="280">
        <f t="shared" si="0"/>
        <v>2032</v>
      </c>
      <c r="T6" s="280">
        <f t="shared" si="0"/>
        <v>2033</v>
      </c>
      <c r="U6" s="280">
        <f t="shared" si="0"/>
        <v>2034</v>
      </c>
      <c r="V6" s="280">
        <v>2035</v>
      </c>
      <c r="W6" s="280" t="s">
        <v>809</v>
      </c>
      <c r="X6" s="299" t="s">
        <v>431</v>
      </c>
    </row>
    <row r="7" spans="1:24" s="59" customFormat="1" x14ac:dyDescent="0.2">
      <c r="A7" s="541">
        <v>1</v>
      </c>
      <c r="B7" s="300" t="s">
        <v>433</v>
      </c>
      <c r="C7" s="543" t="s">
        <v>659</v>
      </c>
      <c r="D7" s="543">
        <v>648</v>
      </c>
      <c r="E7" s="545">
        <v>45201391.5</v>
      </c>
      <c r="F7" s="524" t="s">
        <v>474</v>
      </c>
      <c r="G7" s="281" t="s">
        <v>432</v>
      </c>
      <c r="H7" s="301">
        <v>5307920</v>
      </c>
      <c r="I7" s="301">
        <v>4563372</v>
      </c>
      <c r="J7" s="301">
        <v>4178496</v>
      </c>
      <c r="K7" s="301">
        <v>3888532</v>
      </c>
      <c r="L7" s="301">
        <v>3795232</v>
      </c>
      <c r="M7" s="301">
        <v>3470364</v>
      </c>
      <c r="N7" s="301">
        <v>1653540</v>
      </c>
      <c r="O7" s="301">
        <v>1134524</v>
      </c>
      <c r="P7" s="301">
        <v>936532</v>
      </c>
      <c r="Q7" s="301">
        <v>747604</v>
      </c>
      <c r="R7" s="301">
        <v>747604</v>
      </c>
      <c r="S7" s="301">
        <v>747604</v>
      </c>
      <c r="T7" s="301">
        <v>725552</v>
      </c>
      <c r="U7" s="301">
        <v>269152</v>
      </c>
      <c r="V7" s="301"/>
      <c r="W7" s="302"/>
      <c r="X7" s="447">
        <f t="shared" ref="X7:X38" si="1">SUM(H7:W7)</f>
        <v>32166028</v>
      </c>
    </row>
    <row r="8" spans="1:24" s="59" customFormat="1" x14ac:dyDescent="0.2">
      <c r="A8" s="542"/>
      <c r="B8" s="303" t="s">
        <v>475</v>
      </c>
      <c r="C8" s="544"/>
      <c r="D8" s="544"/>
      <c r="E8" s="546"/>
      <c r="F8" s="525"/>
      <c r="G8" s="282">
        <v>2.5000000000000001E-3</v>
      </c>
      <c r="H8" s="304">
        <v>117645</v>
      </c>
      <c r="I8" s="304">
        <v>132800</v>
      </c>
      <c r="J8" s="304">
        <v>109870</v>
      </c>
      <c r="K8" s="304">
        <v>89135</v>
      </c>
      <c r="L8" s="304">
        <v>69190</v>
      </c>
      <c r="M8" s="304">
        <v>50270</v>
      </c>
      <c r="N8" s="304">
        <v>34515</v>
      </c>
      <c r="O8" s="304">
        <v>26245</v>
      </c>
      <c r="P8" s="304">
        <v>20485</v>
      </c>
      <c r="Q8" s="304">
        <v>15885</v>
      </c>
      <c r="R8" s="304">
        <v>12040</v>
      </c>
      <c r="S8" s="304">
        <v>8275</v>
      </c>
      <c r="T8" s="304">
        <v>4485</v>
      </c>
      <c r="U8" s="304">
        <v>1285</v>
      </c>
      <c r="V8" s="304">
        <v>80</v>
      </c>
      <c r="W8" s="305"/>
      <c r="X8" s="448">
        <f t="shared" si="1"/>
        <v>692205</v>
      </c>
    </row>
    <row r="9" spans="1:24" s="59" customFormat="1" x14ac:dyDescent="0.2">
      <c r="A9" s="555">
        <v>2</v>
      </c>
      <c r="B9" s="306" t="s">
        <v>433</v>
      </c>
      <c r="C9" s="516" t="s">
        <v>810</v>
      </c>
      <c r="D9" s="516">
        <v>628</v>
      </c>
      <c r="E9" s="559">
        <v>119421</v>
      </c>
      <c r="F9" s="567" t="s">
        <v>434</v>
      </c>
      <c r="G9" s="283" t="s">
        <v>432</v>
      </c>
      <c r="H9" s="308">
        <v>6728</v>
      </c>
      <c r="I9" s="308">
        <v>6728</v>
      </c>
      <c r="J9" s="308">
        <v>6728</v>
      </c>
      <c r="K9" s="308">
        <v>6728</v>
      </c>
      <c r="L9" s="308">
        <v>6728</v>
      </c>
      <c r="M9" s="308">
        <v>6728</v>
      </c>
      <c r="N9" s="308">
        <v>6728</v>
      </c>
      <c r="O9" s="308">
        <v>6728</v>
      </c>
      <c r="P9" s="308">
        <v>6728</v>
      </c>
      <c r="Q9" s="308">
        <v>6728</v>
      </c>
      <c r="R9" s="308">
        <v>6728</v>
      </c>
      <c r="S9" s="308">
        <v>6728</v>
      </c>
      <c r="T9" s="308">
        <v>6728</v>
      </c>
      <c r="U9" s="308">
        <v>6728</v>
      </c>
      <c r="V9" s="308">
        <v>1682</v>
      </c>
      <c r="W9" s="309"/>
      <c r="X9" s="449">
        <f t="shared" si="1"/>
        <v>95874</v>
      </c>
    </row>
    <row r="10" spans="1:24" s="59" customFormat="1" x14ac:dyDescent="0.2">
      <c r="A10" s="556"/>
      <c r="B10" s="310" t="s">
        <v>435</v>
      </c>
      <c r="C10" s="517"/>
      <c r="D10" s="517"/>
      <c r="E10" s="560"/>
      <c r="F10" s="517"/>
      <c r="G10" s="284">
        <v>2.5000000000000001E-3</v>
      </c>
      <c r="H10" s="312">
        <v>420</v>
      </c>
      <c r="I10" s="312">
        <v>450</v>
      </c>
      <c r="J10" s="312">
        <v>415</v>
      </c>
      <c r="K10" s="312">
        <v>380</v>
      </c>
      <c r="L10" s="312">
        <v>345</v>
      </c>
      <c r="M10" s="312">
        <v>315</v>
      </c>
      <c r="N10" s="312">
        <v>280</v>
      </c>
      <c r="O10" s="312">
        <v>245</v>
      </c>
      <c r="P10" s="312">
        <v>210</v>
      </c>
      <c r="Q10" s="312">
        <v>175</v>
      </c>
      <c r="R10" s="312">
        <v>140</v>
      </c>
      <c r="S10" s="312">
        <v>110</v>
      </c>
      <c r="T10" s="312">
        <v>75</v>
      </c>
      <c r="U10" s="312">
        <v>40</v>
      </c>
      <c r="V10" s="312">
        <v>10</v>
      </c>
      <c r="W10" s="313"/>
      <c r="X10" s="450">
        <f t="shared" si="1"/>
        <v>3610</v>
      </c>
    </row>
    <row r="11" spans="1:24" s="59" customFormat="1" x14ac:dyDescent="0.2">
      <c r="A11" s="541">
        <v>3</v>
      </c>
      <c r="B11" s="300" t="s">
        <v>433</v>
      </c>
      <c r="C11" s="524" t="s">
        <v>811</v>
      </c>
      <c r="D11" s="524">
        <v>629</v>
      </c>
      <c r="E11" s="545">
        <v>463710</v>
      </c>
      <c r="F11" s="524" t="s">
        <v>436</v>
      </c>
      <c r="G11" s="285" t="s">
        <v>432</v>
      </c>
      <c r="H11" s="315">
        <v>25412</v>
      </c>
      <c r="I11" s="315">
        <v>25412</v>
      </c>
      <c r="J11" s="315">
        <v>25412</v>
      </c>
      <c r="K11" s="315">
        <v>25412</v>
      </c>
      <c r="L11" s="315">
        <v>25412</v>
      </c>
      <c r="M11" s="315">
        <v>25412</v>
      </c>
      <c r="N11" s="315">
        <v>25412</v>
      </c>
      <c r="O11" s="315">
        <v>25412</v>
      </c>
      <c r="P11" s="315">
        <v>25412</v>
      </c>
      <c r="Q11" s="315">
        <v>25412</v>
      </c>
      <c r="R11" s="315">
        <v>25412</v>
      </c>
      <c r="S11" s="315">
        <v>25412</v>
      </c>
      <c r="T11" s="315">
        <v>25412</v>
      </c>
      <c r="U11" s="315">
        <v>25412</v>
      </c>
      <c r="V11" s="315">
        <v>6353</v>
      </c>
      <c r="W11" s="316"/>
      <c r="X11" s="447">
        <f t="shared" si="1"/>
        <v>362121</v>
      </c>
    </row>
    <row r="12" spans="1:24" s="59" customFormat="1" x14ac:dyDescent="0.2">
      <c r="A12" s="542"/>
      <c r="B12" s="317" t="s">
        <v>437</v>
      </c>
      <c r="C12" s="525"/>
      <c r="D12" s="525"/>
      <c r="E12" s="546"/>
      <c r="F12" s="525"/>
      <c r="G12" s="282">
        <v>2.5000000000000001E-3</v>
      </c>
      <c r="H12" s="319">
        <v>1585</v>
      </c>
      <c r="I12" s="319">
        <v>1690</v>
      </c>
      <c r="J12" s="319">
        <v>1560</v>
      </c>
      <c r="K12" s="319">
        <v>1435</v>
      </c>
      <c r="L12" s="319">
        <v>1305</v>
      </c>
      <c r="M12" s="319">
        <v>1175</v>
      </c>
      <c r="N12" s="319">
        <v>1045</v>
      </c>
      <c r="O12" s="319">
        <v>920</v>
      </c>
      <c r="P12" s="319">
        <v>790</v>
      </c>
      <c r="Q12" s="319">
        <v>660</v>
      </c>
      <c r="R12" s="319">
        <v>530</v>
      </c>
      <c r="S12" s="319">
        <v>400</v>
      </c>
      <c r="T12" s="319">
        <v>275</v>
      </c>
      <c r="U12" s="319">
        <v>145</v>
      </c>
      <c r="V12" s="319">
        <v>25</v>
      </c>
      <c r="W12" s="320"/>
      <c r="X12" s="448">
        <f t="shared" si="1"/>
        <v>13540</v>
      </c>
    </row>
    <row r="13" spans="1:24" s="323" customFormat="1" x14ac:dyDescent="0.2">
      <c r="A13" s="555">
        <v>4</v>
      </c>
      <c r="B13" s="306" t="s">
        <v>433</v>
      </c>
      <c r="C13" s="516" t="s">
        <v>812</v>
      </c>
      <c r="D13" s="516">
        <v>630</v>
      </c>
      <c r="E13" s="559">
        <v>162998</v>
      </c>
      <c r="F13" s="516" t="s">
        <v>438</v>
      </c>
      <c r="G13" s="283" t="s">
        <v>432</v>
      </c>
      <c r="H13" s="321">
        <v>6976</v>
      </c>
      <c r="I13" s="321">
        <v>6976</v>
      </c>
      <c r="J13" s="321">
        <v>6976</v>
      </c>
      <c r="K13" s="321">
        <v>6976</v>
      </c>
      <c r="L13" s="321">
        <v>6976</v>
      </c>
      <c r="M13" s="321">
        <v>6976</v>
      </c>
      <c r="N13" s="321">
        <v>6976</v>
      </c>
      <c r="O13" s="321">
        <v>6976</v>
      </c>
      <c r="P13" s="321">
        <v>6976</v>
      </c>
      <c r="Q13" s="321">
        <v>6976</v>
      </c>
      <c r="R13" s="321">
        <v>6976</v>
      </c>
      <c r="S13" s="321">
        <v>6976</v>
      </c>
      <c r="T13" s="321">
        <v>6976</v>
      </c>
      <c r="U13" s="321">
        <v>6976</v>
      </c>
      <c r="V13" s="321">
        <v>3488</v>
      </c>
      <c r="W13" s="322"/>
      <c r="X13" s="449">
        <f t="shared" si="1"/>
        <v>101152</v>
      </c>
    </row>
    <row r="14" spans="1:24" s="59" customFormat="1" x14ac:dyDescent="0.2">
      <c r="A14" s="556"/>
      <c r="B14" s="310" t="s">
        <v>439</v>
      </c>
      <c r="C14" s="517"/>
      <c r="D14" s="517"/>
      <c r="E14" s="560"/>
      <c r="F14" s="517"/>
      <c r="G14" s="284">
        <v>2.5000000000000001E-3</v>
      </c>
      <c r="H14" s="324">
        <v>380</v>
      </c>
      <c r="I14" s="324">
        <v>475</v>
      </c>
      <c r="J14" s="324">
        <v>440</v>
      </c>
      <c r="K14" s="324">
        <v>405</v>
      </c>
      <c r="L14" s="324">
        <v>370</v>
      </c>
      <c r="M14" s="324">
        <v>335</v>
      </c>
      <c r="N14" s="324">
        <v>300</v>
      </c>
      <c r="O14" s="324">
        <v>265</v>
      </c>
      <c r="P14" s="324">
        <v>225</v>
      </c>
      <c r="Q14" s="324">
        <v>190</v>
      </c>
      <c r="R14" s="324">
        <v>155</v>
      </c>
      <c r="S14" s="324">
        <v>120</v>
      </c>
      <c r="T14" s="324">
        <v>85</v>
      </c>
      <c r="U14" s="324">
        <v>50</v>
      </c>
      <c r="V14" s="324">
        <v>15</v>
      </c>
      <c r="W14" s="325"/>
      <c r="X14" s="450">
        <f t="shared" si="1"/>
        <v>3810</v>
      </c>
    </row>
    <row r="15" spans="1:24" s="59" customFormat="1" x14ac:dyDescent="0.2">
      <c r="A15" s="541">
        <v>5</v>
      </c>
      <c r="B15" s="300" t="s">
        <v>440</v>
      </c>
      <c r="C15" s="524" t="s">
        <v>813</v>
      </c>
      <c r="D15" s="524">
        <v>631</v>
      </c>
      <c r="E15" s="545">
        <f>89504-0.24</f>
        <v>89503.76</v>
      </c>
      <c r="F15" s="524" t="s">
        <v>441</v>
      </c>
      <c r="G15" s="285" t="s">
        <v>432</v>
      </c>
      <c r="H15" s="326">
        <v>5116</v>
      </c>
      <c r="I15" s="326">
        <v>5116</v>
      </c>
      <c r="J15" s="326">
        <v>5116</v>
      </c>
      <c r="K15" s="326">
        <v>5116</v>
      </c>
      <c r="L15" s="326">
        <v>5116</v>
      </c>
      <c r="M15" s="326">
        <v>5116</v>
      </c>
      <c r="N15" s="326">
        <v>5116</v>
      </c>
      <c r="O15" s="326">
        <v>5116</v>
      </c>
      <c r="P15" s="326">
        <v>5116</v>
      </c>
      <c r="Q15" s="326">
        <v>5116</v>
      </c>
      <c r="R15" s="326">
        <v>5116</v>
      </c>
      <c r="S15" s="326">
        <v>5116</v>
      </c>
      <c r="T15" s="326">
        <f>5116</f>
        <v>5116</v>
      </c>
      <c r="U15" s="326">
        <v>5116</v>
      </c>
      <c r="V15" s="326">
        <v>2557.7600000000002</v>
      </c>
      <c r="W15" s="327"/>
      <c r="X15" s="447">
        <f t="shared" si="1"/>
        <v>74181.759999999995</v>
      </c>
    </row>
    <row r="16" spans="1:24" s="59" customFormat="1" x14ac:dyDescent="0.2">
      <c r="A16" s="542"/>
      <c r="B16" s="317" t="s">
        <v>442</v>
      </c>
      <c r="C16" s="525"/>
      <c r="D16" s="525"/>
      <c r="E16" s="546"/>
      <c r="F16" s="525"/>
      <c r="G16" s="282">
        <v>2.5000000000000001E-3</v>
      </c>
      <c r="H16" s="328">
        <v>280</v>
      </c>
      <c r="I16" s="328">
        <v>350</v>
      </c>
      <c r="J16" s="328">
        <v>325</v>
      </c>
      <c r="K16" s="328">
        <v>300</v>
      </c>
      <c r="L16" s="328">
        <v>270</v>
      </c>
      <c r="M16" s="328">
        <v>245</v>
      </c>
      <c r="N16" s="328">
        <v>220</v>
      </c>
      <c r="O16" s="328">
        <v>195</v>
      </c>
      <c r="P16" s="328">
        <v>165</v>
      </c>
      <c r="Q16" s="328">
        <v>140</v>
      </c>
      <c r="R16" s="328">
        <v>115</v>
      </c>
      <c r="S16" s="328">
        <v>90</v>
      </c>
      <c r="T16" s="328">
        <v>65</v>
      </c>
      <c r="U16" s="328">
        <v>35</v>
      </c>
      <c r="V16" s="328">
        <v>10</v>
      </c>
      <c r="W16" s="329"/>
      <c r="X16" s="448">
        <f t="shared" si="1"/>
        <v>2805</v>
      </c>
    </row>
    <row r="17" spans="1:24" s="59" customFormat="1" x14ac:dyDescent="0.2">
      <c r="A17" s="555">
        <v>6</v>
      </c>
      <c r="B17" s="306" t="s">
        <v>433</v>
      </c>
      <c r="C17" s="516" t="s">
        <v>814</v>
      </c>
      <c r="D17" s="516">
        <v>632</v>
      </c>
      <c r="E17" s="559">
        <v>1331708.19</v>
      </c>
      <c r="F17" s="516" t="s">
        <v>443</v>
      </c>
      <c r="G17" s="283" t="s">
        <v>432</v>
      </c>
      <c r="H17" s="308">
        <v>4000</v>
      </c>
      <c r="I17" s="308">
        <v>20000</v>
      </c>
      <c r="J17" s="308">
        <v>20000</v>
      </c>
      <c r="K17" s="308">
        <v>20000</v>
      </c>
      <c r="L17" s="308">
        <v>20000</v>
      </c>
      <c r="M17" s="308">
        <v>50000</v>
      </c>
      <c r="N17" s="308">
        <v>79000</v>
      </c>
      <c r="O17" s="308">
        <v>79000</v>
      </c>
      <c r="P17" s="308">
        <v>79000</v>
      </c>
      <c r="Q17" s="308">
        <v>79000</v>
      </c>
      <c r="R17" s="308">
        <v>79000</v>
      </c>
      <c r="S17" s="308">
        <v>79000</v>
      </c>
      <c r="T17" s="308">
        <f>79000</f>
        <v>79000</v>
      </c>
      <c r="U17" s="308">
        <v>79000</v>
      </c>
      <c r="V17" s="308">
        <v>59250</v>
      </c>
      <c r="W17" s="309"/>
      <c r="X17" s="449">
        <f t="shared" si="1"/>
        <v>825250</v>
      </c>
    </row>
    <row r="18" spans="1:24" s="59" customFormat="1" x14ac:dyDescent="0.2">
      <c r="A18" s="556"/>
      <c r="B18" s="310" t="s">
        <v>444</v>
      </c>
      <c r="C18" s="517"/>
      <c r="D18" s="517"/>
      <c r="E18" s="560"/>
      <c r="F18" s="517"/>
      <c r="G18" s="284">
        <v>2.5000000000000001E-3</v>
      </c>
      <c r="H18" s="312">
        <f>4185-1565</f>
        <v>2620</v>
      </c>
      <c r="I18" s="312">
        <v>4145</v>
      </c>
      <c r="J18" s="312">
        <v>4050</v>
      </c>
      <c r="K18" s="312">
        <v>3960</v>
      </c>
      <c r="L18" s="312">
        <v>3845</v>
      </c>
      <c r="M18" s="312">
        <v>3715</v>
      </c>
      <c r="N18" s="312">
        <v>3435</v>
      </c>
      <c r="O18" s="312">
        <v>3055</v>
      </c>
      <c r="P18" s="312">
        <v>2645</v>
      </c>
      <c r="Q18" s="312">
        <v>2245</v>
      </c>
      <c r="R18" s="312">
        <v>1845</v>
      </c>
      <c r="S18" s="312">
        <v>1445</v>
      </c>
      <c r="T18" s="312">
        <v>1040</v>
      </c>
      <c r="U18" s="312">
        <v>640</v>
      </c>
      <c r="V18" s="312">
        <v>240</v>
      </c>
      <c r="W18" s="313"/>
      <c r="X18" s="450">
        <f t="shared" si="1"/>
        <v>38925</v>
      </c>
    </row>
    <row r="19" spans="1:24" s="59" customFormat="1" x14ac:dyDescent="0.2">
      <c r="A19" s="541">
        <v>7</v>
      </c>
      <c r="B19" s="300" t="s">
        <v>433</v>
      </c>
      <c r="C19" s="564" t="s">
        <v>476</v>
      </c>
      <c r="D19" s="524">
        <v>633</v>
      </c>
      <c r="E19" s="565">
        <f>8339124-3412924+1558975</f>
        <v>6485175</v>
      </c>
      <c r="F19" s="524" t="s">
        <v>445</v>
      </c>
      <c r="G19" s="285" t="s">
        <v>432</v>
      </c>
      <c r="H19" s="330">
        <v>1000</v>
      </c>
      <c r="I19" s="330">
        <v>5000</v>
      </c>
      <c r="J19" s="330">
        <v>5000</v>
      </c>
      <c r="K19" s="330">
        <v>8000</v>
      </c>
      <c r="L19" s="330">
        <v>20000</v>
      </c>
      <c r="M19" s="330">
        <v>60000</v>
      </c>
      <c r="N19" s="330">
        <v>238000</v>
      </c>
      <c r="O19" s="330">
        <v>238000</v>
      </c>
      <c r="P19" s="330">
        <v>304544</v>
      </c>
      <c r="Q19" s="330">
        <v>304544</v>
      </c>
      <c r="R19" s="330">
        <v>304544</v>
      </c>
      <c r="S19" s="330">
        <v>304544</v>
      </c>
      <c r="T19" s="330">
        <v>304544</v>
      </c>
      <c r="U19" s="330">
        <v>304544</v>
      </c>
      <c r="V19" s="330">
        <v>304544</v>
      </c>
      <c r="W19" s="331">
        <v>3426119</v>
      </c>
      <c r="X19" s="447">
        <f t="shared" si="1"/>
        <v>6132927</v>
      </c>
    </row>
    <row r="20" spans="1:24" s="59" customFormat="1" x14ac:dyDescent="0.2">
      <c r="A20" s="542"/>
      <c r="B20" s="317" t="s">
        <v>446</v>
      </c>
      <c r="C20" s="544"/>
      <c r="D20" s="525"/>
      <c r="E20" s="566"/>
      <c r="F20" s="525"/>
      <c r="G20" s="282">
        <v>2.5000000000000001E-3</v>
      </c>
      <c r="H20" s="332">
        <v>23340</v>
      </c>
      <c r="I20" s="332">
        <v>31085</v>
      </c>
      <c r="J20" s="332">
        <v>31060</v>
      </c>
      <c r="K20" s="332">
        <v>31115</v>
      </c>
      <c r="L20" s="332">
        <v>30980</v>
      </c>
      <c r="M20" s="332">
        <v>30835</v>
      </c>
      <c r="N20" s="332">
        <v>30355</v>
      </c>
      <c r="O20" s="332">
        <v>29280</v>
      </c>
      <c r="P20" s="332">
        <v>27920</v>
      </c>
      <c r="Q20" s="332">
        <v>26395</v>
      </c>
      <c r="R20" s="332">
        <v>24850</v>
      </c>
      <c r="S20" s="332">
        <v>23375</v>
      </c>
      <c r="T20" s="332">
        <v>21765</v>
      </c>
      <c r="U20" s="332">
        <v>20220</v>
      </c>
      <c r="V20" s="332">
        <v>18675</v>
      </c>
      <c r="W20" s="333">
        <v>103885</v>
      </c>
      <c r="X20" s="448">
        <f t="shared" si="1"/>
        <v>505135</v>
      </c>
    </row>
    <row r="21" spans="1:24" s="59" customFormat="1" x14ac:dyDescent="0.2">
      <c r="A21" s="555">
        <v>8</v>
      </c>
      <c r="B21" s="306" t="s">
        <v>433</v>
      </c>
      <c r="C21" s="563" t="s">
        <v>815</v>
      </c>
      <c r="D21" s="516">
        <v>634</v>
      </c>
      <c r="E21" s="559">
        <f>206622-0.62</f>
        <v>206621.38</v>
      </c>
      <c r="F21" s="516" t="s">
        <v>447</v>
      </c>
      <c r="G21" s="283" t="s">
        <v>432</v>
      </c>
      <c r="H21" s="334">
        <v>1000</v>
      </c>
      <c r="I21" s="334">
        <v>13640</v>
      </c>
      <c r="J21" s="334">
        <v>13640</v>
      </c>
      <c r="K21" s="334">
        <v>13640</v>
      </c>
      <c r="L21" s="334">
        <v>13640</v>
      </c>
      <c r="M21" s="334">
        <v>13640</v>
      </c>
      <c r="N21" s="334">
        <v>13640</v>
      </c>
      <c r="O21" s="334">
        <v>13640</v>
      </c>
      <c r="P21" s="334">
        <v>13640</v>
      </c>
      <c r="Q21" s="334">
        <v>13640</v>
      </c>
      <c r="R21" s="334">
        <v>13640</v>
      </c>
      <c r="S21" s="334">
        <v>13640</v>
      </c>
      <c r="T21" s="334">
        <v>13640</v>
      </c>
      <c r="U21" s="334">
        <v>13640</v>
      </c>
      <c r="V21" s="334">
        <v>13640</v>
      </c>
      <c r="W21" s="335">
        <v>13661.38</v>
      </c>
      <c r="X21" s="449">
        <f t="shared" si="1"/>
        <v>205621.38</v>
      </c>
    </row>
    <row r="22" spans="1:24" s="59" customFormat="1" x14ac:dyDescent="0.2">
      <c r="A22" s="556"/>
      <c r="B22" s="310" t="s">
        <v>448</v>
      </c>
      <c r="C22" s="558"/>
      <c r="D22" s="517"/>
      <c r="E22" s="560"/>
      <c r="F22" s="517"/>
      <c r="G22" s="284">
        <v>2.5000000000000001E-3</v>
      </c>
      <c r="H22" s="336">
        <v>785</v>
      </c>
      <c r="I22" s="336">
        <v>1025</v>
      </c>
      <c r="J22" s="336">
        <v>960</v>
      </c>
      <c r="K22" s="336">
        <v>895</v>
      </c>
      <c r="L22" s="336">
        <v>820</v>
      </c>
      <c r="M22" s="336">
        <v>755</v>
      </c>
      <c r="N22" s="336">
        <v>685</v>
      </c>
      <c r="O22" s="336">
        <v>620</v>
      </c>
      <c r="P22" s="336">
        <v>545</v>
      </c>
      <c r="Q22" s="336">
        <v>475</v>
      </c>
      <c r="R22" s="336">
        <v>405</v>
      </c>
      <c r="S22" s="336">
        <v>340</v>
      </c>
      <c r="T22" s="336">
        <v>270</v>
      </c>
      <c r="U22" s="336">
        <v>200</v>
      </c>
      <c r="V22" s="336">
        <v>130</v>
      </c>
      <c r="W22" s="337">
        <v>60</v>
      </c>
      <c r="X22" s="450">
        <f t="shared" si="1"/>
        <v>8970</v>
      </c>
    </row>
    <row r="23" spans="1:24" s="59" customFormat="1" x14ac:dyDescent="0.2">
      <c r="A23" s="541">
        <v>9</v>
      </c>
      <c r="B23" s="300" t="s">
        <v>433</v>
      </c>
      <c r="C23" s="543" t="s">
        <v>816</v>
      </c>
      <c r="D23" s="524">
        <v>635</v>
      </c>
      <c r="E23" s="545">
        <v>307624.96000000002</v>
      </c>
      <c r="F23" s="524" t="s">
        <v>449</v>
      </c>
      <c r="G23" s="285" t="s">
        <v>432</v>
      </c>
      <c r="H23" s="315">
        <v>1000</v>
      </c>
      <c r="I23" s="315">
        <v>5000</v>
      </c>
      <c r="J23" s="315">
        <v>5000</v>
      </c>
      <c r="K23" s="315">
        <v>10000</v>
      </c>
      <c r="L23" s="315">
        <v>23824</v>
      </c>
      <c r="M23" s="315">
        <v>23824</v>
      </c>
      <c r="N23" s="315">
        <v>23824</v>
      </c>
      <c r="O23" s="315">
        <v>23824</v>
      </c>
      <c r="P23" s="315">
        <v>23824</v>
      </c>
      <c r="Q23" s="315">
        <v>23824</v>
      </c>
      <c r="R23" s="315">
        <v>23824</v>
      </c>
      <c r="S23" s="315">
        <v>23824</v>
      </c>
      <c r="T23" s="315">
        <f>23824</f>
        <v>23824</v>
      </c>
      <c r="U23" s="315">
        <v>23824</v>
      </c>
      <c r="V23" s="315">
        <v>23824</v>
      </c>
      <c r="W23" s="316">
        <v>23810.959999999999</v>
      </c>
      <c r="X23" s="447">
        <f t="shared" si="1"/>
        <v>306874.96000000002</v>
      </c>
    </row>
    <row r="24" spans="1:24" s="59" customFormat="1" x14ac:dyDescent="0.2">
      <c r="A24" s="542"/>
      <c r="B24" s="317" t="s">
        <v>450</v>
      </c>
      <c r="C24" s="544"/>
      <c r="D24" s="525"/>
      <c r="E24" s="546"/>
      <c r="F24" s="525"/>
      <c r="G24" s="282">
        <v>2.5000000000000001E-3</v>
      </c>
      <c r="H24" s="319">
        <v>1170</v>
      </c>
      <c r="I24" s="319">
        <v>1550</v>
      </c>
      <c r="J24" s="319">
        <v>1525</v>
      </c>
      <c r="K24" s="319">
        <v>1495</v>
      </c>
      <c r="L24" s="319">
        <v>1430</v>
      </c>
      <c r="M24" s="319">
        <v>1310</v>
      </c>
      <c r="N24" s="319">
        <v>1190</v>
      </c>
      <c r="O24" s="319">
        <v>1075</v>
      </c>
      <c r="P24" s="319">
        <v>950</v>
      </c>
      <c r="Q24" s="319">
        <v>830</v>
      </c>
      <c r="R24" s="319">
        <v>710</v>
      </c>
      <c r="S24" s="319">
        <v>590</v>
      </c>
      <c r="T24" s="319">
        <v>465</v>
      </c>
      <c r="U24" s="319">
        <v>345</v>
      </c>
      <c r="V24" s="319">
        <v>225</v>
      </c>
      <c r="W24" s="320">
        <v>110</v>
      </c>
      <c r="X24" s="448">
        <f t="shared" si="1"/>
        <v>14970</v>
      </c>
    </row>
    <row r="25" spans="1:24" s="59" customFormat="1" x14ac:dyDescent="0.2">
      <c r="A25" s="555">
        <v>10</v>
      </c>
      <c r="B25" s="306" t="s">
        <v>433</v>
      </c>
      <c r="C25" s="557" t="s">
        <v>817</v>
      </c>
      <c r="D25" s="516">
        <v>636</v>
      </c>
      <c r="E25" s="559">
        <v>69989</v>
      </c>
      <c r="F25" s="516" t="s">
        <v>449</v>
      </c>
      <c r="G25" s="283" t="s">
        <v>432</v>
      </c>
      <c r="H25" s="308">
        <v>1000</v>
      </c>
      <c r="I25" s="308">
        <v>1000</v>
      </c>
      <c r="J25" s="308">
        <v>2000</v>
      </c>
      <c r="K25" s="308">
        <v>2000</v>
      </c>
      <c r="L25" s="308">
        <v>5000</v>
      </c>
      <c r="M25" s="308">
        <v>5272</v>
      </c>
      <c r="N25" s="308">
        <v>5272</v>
      </c>
      <c r="O25" s="308">
        <v>5272</v>
      </c>
      <c r="P25" s="308">
        <v>5272</v>
      </c>
      <c r="Q25" s="308">
        <v>5272</v>
      </c>
      <c r="R25" s="308">
        <v>5272</v>
      </c>
      <c r="S25" s="308">
        <v>5272</v>
      </c>
      <c r="T25" s="308">
        <v>5272</v>
      </c>
      <c r="U25" s="308">
        <v>5272</v>
      </c>
      <c r="V25" s="308">
        <v>5272</v>
      </c>
      <c r="W25" s="309">
        <v>5269</v>
      </c>
      <c r="X25" s="449">
        <f t="shared" si="1"/>
        <v>68989</v>
      </c>
    </row>
    <row r="26" spans="1:24" s="59" customFormat="1" x14ac:dyDescent="0.2">
      <c r="A26" s="556"/>
      <c r="B26" s="310" t="s">
        <v>451</v>
      </c>
      <c r="C26" s="558"/>
      <c r="D26" s="517"/>
      <c r="E26" s="560"/>
      <c r="F26" s="517"/>
      <c r="G26" s="284">
        <v>2.5000000000000001E-3</v>
      </c>
      <c r="H26" s="312">
        <v>265</v>
      </c>
      <c r="I26" s="312">
        <v>345</v>
      </c>
      <c r="J26" s="312">
        <v>340</v>
      </c>
      <c r="K26" s="312">
        <v>330</v>
      </c>
      <c r="L26" s="312">
        <v>315</v>
      </c>
      <c r="M26" s="312">
        <v>290</v>
      </c>
      <c r="N26" s="312">
        <v>265</v>
      </c>
      <c r="O26" s="312">
        <v>240</v>
      </c>
      <c r="P26" s="312">
        <v>210</v>
      </c>
      <c r="Q26" s="312">
        <v>185</v>
      </c>
      <c r="R26" s="312">
        <v>160</v>
      </c>
      <c r="S26" s="312">
        <v>130</v>
      </c>
      <c r="T26" s="312">
        <v>105</v>
      </c>
      <c r="U26" s="312">
        <v>80</v>
      </c>
      <c r="V26" s="312">
        <v>50</v>
      </c>
      <c r="W26" s="313">
        <v>25</v>
      </c>
      <c r="X26" s="450">
        <f t="shared" si="1"/>
        <v>3335</v>
      </c>
    </row>
    <row r="27" spans="1:24" s="59" customFormat="1" x14ac:dyDescent="0.2">
      <c r="A27" s="541">
        <v>11</v>
      </c>
      <c r="B27" s="300" t="s">
        <v>433</v>
      </c>
      <c r="C27" s="543" t="s">
        <v>818</v>
      </c>
      <c r="D27" s="543">
        <v>637</v>
      </c>
      <c r="E27" s="545">
        <v>212555.77</v>
      </c>
      <c r="F27" s="524" t="s">
        <v>452</v>
      </c>
      <c r="G27" s="281" t="s">
        <v>432</v>
      </c>
      <c r="H27" s="330">
        <v>1000</v>
      </c>
      <c r="I27" s="330">
        <v>1000</v>
      </c>
      <c r="J27" s="330">
        <v>2000</v>
      </c>
      <c r="K27" s="330">
        <v>2000</v>
      </c>
      <c r="L27" s="330">
        <v>2000</v>
      </c>
      <c r="M27" s="330">
        <v>5000</v>
      </c>
      <c r="N27" s="330">
        <v>19920</v>
      </c>
      <c r="O27" s="330">
        <v>19920</v>
      </c>
      <c r="P27" s="330">
        <v>19920</v>
      </c>
      <c r="Q27" s="330">
        <v>19920</v>
      </c>
      <c r="R27" s="330">
        <v>19920</v>
      </c>
      <c r="S27" s="330">
        <v>19920</v>
      </c>
      <c r="T27" s="330">
        <v>19920</v>
      </c>
      <c r="U27" s="330">
        <v>19920</v>
      </c>
      <c r="V27" s="330">
        <v>19920</v>
      </c>
      <c r="W27" s="331">
        <v>19525.77</v>
      </c>
      <c r="X27" s="447">
        <f t="shared" si="1"/>
        <v>211805.77</v>
      </c>
    </row>
    <row r="28" spans="1:24" s="59" customFormat="1" x14ac:dyDescent="0.2">
      <c r="A28" s="542"/>
      <c r="B28" s="317" t="s">
        <v>453</v>
      </c>
      <c r="C28" s="544"/>
      <c r="D28" s="544"/>
      <c r="E28" s="546"/>
      <c r="F28" s="525"/>
      <c r="G28" s="282">
        <v>2.5000000000000001E-3</v>
      </c>
      <c r="H28" s="332">
        <v>675</v>
      </c>
      <c r="I28" s="332">
        <v>1070</v>
      </c>
      <c r="J28" s="332">
        <v>1065</v>
      </c>
      <c r="K28" s="332">
        <v>1055</v>
      </c>
      <c r="L28" s="332">
        <v>1045</v>
      </c>
      <c r="M28" s="332">
        <v>1030</v>
      </c>
      <c r="N28" s="332">
        <v>990</v>
      </c>
      <c r="O28" s="332">
        <v>895</v>
      </c>
      <c r="P28" s="332">
        <v>795</v>
      </c>
      <c r="Q28" s="332">
        <v>690</v>
      </c>
      <c r="R28" s="332">
        <v>590</v>
      </c>
      <c r="S28" s="332">
        <v>490</v>
      </c>
      <c r="T28" s="332">
        <v>390</v>
      </c>
      <c r="U28" s="332">
        <v>290</v>
      </c>
      <c r="V28" s="332">
        <v>185</v>
      </c>
      <c r="W28" s="333">
        <v>90</v>
      </c>
      <c r="X28" s="448">
        <f t="shared" si="1"/>
        <v>11345</v>
      </c>
    </row>
    <row r="29" spans="1:24" s="59" customFormat="1" ht="22.5" customHeight="1" x14ac:dyDescent="0.2">
      <c r="A29" s="555">
        <v>12</v>
      </c>
      <c r="B29" s="306" t="s">
        <v>433</v>
      </c>
      <c r="C29" s="557" t="s">
        <v>819</v>
      </c>
      <c r="D29" s="557">
        <v>638</v>
      </c>
      <c r="E29" s="559">
        <v>1496459</v>
      </c>
      <c r="F29" s="516" t="s">
        <v>454</v>
      </c>
      <c r="G29" s="286" t="s">
        <v>432</v>
      </c>
      <c r="H29" s="334">
        <v>1000</v>
      </c>
      <c r="I29" s="334">
        <v>3000</v>
      </c>
      <c r="J29" s="334">
        <v>5000</v>
      </c>
      <c r="K29" s="334">
        <v>5000</v>
      </c>
      <c r="L29" s="334">
        <v>10000</v>
      </c>
      <c r="M29" s="334">
        <v>20000</v>
      </c>
      <c r="N29" s="334">
        <v>50000</v>
      </c>
      <c r="O29" s="334">
        <v>50000</v>
      </c>
      <c r="P29" s="334">
        <v>50000</v>
      </c>
      <c r="Q29" s="334">
        <v>69458</v>
      </c>
      <c r="R29" s="334">
        <v>75944</v>
      </c>
      <c r="S29" s="334">
        <v>75944</v>
      </c>
      <c r="T29" s="334">
        <f>75944</f>
        <v>75944</v>
      </c>
      <c r="U29" s="334">
        <v>75944</v>
      </c>
      <c r="V29" s="334">
        <v>75944</v>
      </c>
      <c r="W29" s="335">
        <v>852531</v>
      </c>
      <c r="X29" s="449">
        <f t="shared" si="1"/>
        <v>1495709</v>
      </c>
    </row>
    <row r="30" spans="1:24" s="59" customFormat="1" ht="18" customHeight="1" x14ac:dyDescent="0.2">
      <c r="A30" s="556"/>
      <c r="B30" s="310" t="s">
        <v>455</v>
      </c>
      <c r="C30" s="558"/>
      <c r="D30" s="558"/>
      <c r="E30" s="560"/>
      <c r="F30" s="517"/>
      <c r="G30" s="284">
        <v>2.5000000000000001E-3</v>
      </c>
      <c r="H30" s="336">
        <v>4750</v>
      </c>
      <c r="I30" s="336">
        <v>7575</v>
      </c>
      <c r="J30" s="336">
        <v>7560</v>
      </c>
      <c r="K30" s="336">
        <v>7555</v>
      </c>
      <c r="L30" s="336">
        <v>7505</v>
      </c>
      <c r="M30" s="336">
        <v>7445</v>
      </c>
      <c r="N30" s="336">
        <v>7315</v>
      </c>
      <c r="O30" s="336">
        <v>7090</v>
      </c>
      <c r="P30" s="336">
        <v>6815</v>
      </c>
      <c r="Q30" s="336">
        <v>6550</v>
      </c>
      <c r="R30" s="336">
        <v>6190</v>
      </c>
      <c r="S30" s="336">
        <v>5820</v>
      </c>
      <c r="T30" s="336">
        <v>5420</v>
      </c>
      <c r="U30" s="336">
        <v>5035</v>
      </c>
      <c r="V30" s="336">
        <v>4650</v>
      </c>
      <c r="W30" s="337">
        <v>25800</v>
      </c>
      <c r="X30" s="450">
        <f t="shared" si="1"/>
        <v>123075</v>
      </c>
    </row>
    <row r="31" spans="1:24" s="59" customFormat="1" x14ac:dyDescent="0.2">
      <c r="A31" s="541">
        <v>13</v>
      </c>
      <c r="B31" s="300" t="s">
        <v>433</v>
      </c>
      <c r="C31" s="543" t="s">
        <v>820</v>
      </c>
      <c r="D31" s="543">
        <v>639</v>
      </c>
      <c r="E31" s="545">
        <v>520249</v>
      </c>
      <c r="F31" s="524" t="s">
        <v>456</v>
      </c>
      <c r="G31" s="281" t="s">
        <v>432</v>
      </c>
      <c r="H31" s="330">
        <v>1000</v>
      </c>
      <c r="I31" s="330">
        <v>2000</v>
      </c>
      <c r="J31" s="330">
        <v>2000</v>
      </c>
      <c r="K31" s="330">
        <v>5000</v>
      </c>
      <c r="L31" s="330">
        <v>5000</v>
      </c>
      <c r="M31" s="330">
        <v>10000</v>
      </c>
      <c r="N31" s="330">
        <v>45000</v>
      </c>
      <c r="O31" s="330">
        <v>45000</v>
      </c>
      <c r="P31" s="330">
        <v>45000</v>
      </c>
      <c r="Q31" s="330">
        <v>45000</v>
      </c>
      <c r="R31" s="330">
        <v>45000</v>
      </c>
      <c r="S31" s="330">
        <v>45000</v>
      </c>
      <c r="T31" s="330">
        <v>45000</v>
      </c>
      <c r="U31" s="330">
        <v>45000</v>
      </c>
      <c r="V31" s="330">
        <v>45000</v>
      </c>
      <c r="W31" s="331">
        <f>89949</f>
        <v>89949</v>
      </c>
      <c r="X31" s="447">
        <f t="shared" si="1"/>
        <v>519949</v>
      </c>
    </row>
    <row r="32" spans="1:24" s="59" customFormat="1" x14ac:dyDescent="0.2">
      <c r="A32" s="542"/>
      <c r="B32" s="317" t="s">
        <v>457</v>
      </c>
      <c r="C32" s="544"/>
      <c r="D32" s="544"/>
      <c r="E32" s="546"/>
      <c r="F32" s="525"/>
      <c r="G32" s="282">
        <v>2.5000000000000001E-3</v>
      </c>
      <c r="H32" s="332">
        <v>1650</v>
      </c>
      <c r="I32" s="332">
        <v>2630</v>
      </c>
      <c r="J32" s="332">
        <v>2620</v>
      </c>
      <c r="K32" s="332">
        <v>2615</v>
      </c>
      <c r="L32" s="332">
        <v>2585</v>
      </c>
      <c r="M32" s="332">
        <v>2555</v>
      </c>
      <c r="N32" s="332">
        <v>2465</v>
      </c>
      <c r="O32" s="332">
        <v>2255</v>
      </c>
      <c r="P32" s="332">
        <v>2020</v>
      </c>
      <c r="Q32" s="332">
        <v>1790</v>
      </c>
      <c r="R32" s="332">
        <v>1565</v>
      </c>
      <c r="S32" s="332">
        <v>1340</v>
      </c>
      <c r="T32" s="332">
        <v>1110</v>
      </c>
      <c r="U32" s="332">
        <v>880</v>
      </c>
      <c r="V32" s="332">
        <v>650</v>
      </c>
      <c r="W32" s="333">
        <v>600</v>
      </c>
      <c r="X32" s="448">
        <f t="shared" si="1"/>
        <v>29330</v>
      </c>
    </row>
    <row r="33" spans="1:24" s="59" customFormat="1" ht="19.5" customHeight="1" x14ac:dyDescent="0.2">
      <c r="A33" s="555">
        <v>14</v>
      </c>
      <c r="B33" s="306" t="s">
        <v>433</v>
      </c>
      <c r="C33" s="557" t="s">
        <v>821</v>
      </c>
      <c r="D33" s="557">
        <v>640</v>
      </c>
      <c r="E33" s="559">
        <f>409900-0.21</f>
        <v>409899.79</v>
      </c>
      <c r="F33" s="516" t="s">
        <v>458</v>
      </c>
      <c r="G33" s="286" t="s">
        <v>432</v>
      </c>
      <c r="H33" s="334">
        <v>1000</v>
      </c>
      <c r="I33" s="334">
        <v>2000</v>
      </c>
      <c r="J33" s="334">
        <v>2000</v>
      </c>
      <c r="K33" s="334">
        <v>5000</v>
      </c>
      <c r="L33" s="334">
        <v>5000</v>
      </c>
      <c r="M33" s="334">
        <v>10000</v>
      </c>
      <c r="N33" s="334">
        <v>34964</v>
      </c>
      <c r="O33" s="334">
        <v>34964</v>
      </c>
      <c r="P33" s="334">
        <v>34964</v>
      </c>
      <c r="Q33" s="334">
        <v>34964</v>
      </c>
      <c r="R33" s="334">
        <v>34964</v>
      </c>
      <c r="S33" s="334">
        <v>34964</v>
      </c>
      <c r="T33" s="334">
        <v>34964</v>
      </c>
      <c r="U33" s="334">
        <v>34964</v>
      </c>
      <c r="V33" s="334">
        <v>34964</v>
      </c>
      <c r="W33" s="335">
        <f>34964+34959.79</f>
        <v>69923.790000000008</v>
      </c>
      <c r="X33" s="449">
        <f t="shared" si="1"/>
        <v>409599.79000000004</v>
      </c>
    </row>
    <row r="34" spans="1:24" s="59" customFormat="1" ht="21" customHeight="1" x14ac:dyDescent="0.2">
      <c r="A34" s="556"/>
      <c r="B34" s="310" t="s">
        <v>459</v>
      </c>
      <c r="C34" s="558"/>
      <c r="D34" s="558"/>
      <c r="E34" s="560"/>
      <c r="F34" s="517"/>
      <c r="G34" s="284">
        <v>2.5000000000000001E-3</v>
      </c>
      <c r="H34" s="336">
        <f>2080-1040</f>
        <v>1040</v>
      </c>
      <c r="I34" s="336">
        <v>2070</v>
      </c>
      <c r="J34" s="336">
        <v>2060</v>
      </c>
      <c r="K34" s="336">
        <v>2055</v>
      </c>
      <c r="L34" s="336">
        <v>2025</v>
      </c>
      <c r="M34" s="336">
        <v>1995</v>
      </c>
      <c r="N34" s="336">
        <v>1920</v>
      </c>
      <c r="O34" s="336">
        <v>1755</v>
      </c>
      <c r="P34" s="336">
        <v>1570</v>
      </c>
      <c r="Q34" s="336">
        <v>1395</v>
      </c>
      <c r="R34" s="336">
        <v>1215</v>
      </c>
      <c r="S34" s="336">
        <v>1040</v>
      </c>
      <c r="T34" s="336">
        <v>860</v>
      </c>
      <c r="U34" s="336">
        <v>685</v>
      </c>
      <c r="V34" s="336">
        <v>505</v>
      </c>
      <c r="W34" s="337">
        <v>490</v>
      </c>
      <c r="X34" s="450">
        <f t="shared" si="1"/>
        <v>22680</v>
      </c>
    </row>
    <row r="35" spans="1:24" s="59" customFormat="1" ht="20.25" customHeight="1" x14ac:dyDescent="0.2">
      <c r="A35" s="541">
        <v>15</v>
      </c>
      <c r="B35" s="300" t="s">
        <v>433</v>
      </c>
      <c r="C35" s="524" t="s">
        <v>460</v>
      </c>
      <c r="D35" s="543">
        <v>641</v>
      </c>
      <c r="E35" s="545">
        <f>157928-30001.8</f>
        <v>127926.2</v>
      </c>
      <c r="F35" s="524" t="s">
        <v>660</v>
      </c>
      <c r="G35" s="281" t="s">
        <v>432</v>
      </c>
      <c r="H35" s="315">
        <v>38592</v>
      </c>
      <c r="I35" s="315">
        <f>38592.2-2347.04-1005.87</f>
        <v>35239.289999999994</v>
      </c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6"/>
      <c r="X35" s="447">
        <f t="shared" si="1"/>
        <v>73831.289999999994</v>
      </c>
    </row>
    <row r="36" spans="1:24" s="59" customFormat="1" ht="23.25" customHeight="1" x14ac:dyDescent="0.2">
      <c r="A36" s="542"/>
      <c r="B36" s="317" t="s">
        <v>461</v>
      </c>
      <c r="C36" s="525"/>
      <c r="D36" s="544"/>
      <c r="E36" s="546"/>
      <c r="F36" s="525"/>
      <c r="G36" s="282">
        <v>2.5000000000000001E-3</v>
      </c>
      <c r="H36" s="319">
        <f>350-175</f>
        <v>175</v>
      </c>
      <c r="I36" s="319">
        <f>165</f>
        <v>165</v>
      </c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20"/>
      <c r="X36" s="448">
        <f t="shared" si="1"/>
        <v>340</v>
      </c>
    </row>
    <row r="37" spans="1:24" s="59" customFormat="1" x14ac:dyDescent="0.2">
      <c r="A37" s="555">
        <v>16</v>
      </c>
      <c r="B37" s="306" t="s">
        <v>433</v>
      </c>
      <c r="C37" s="516" t="s">
        <v>822</v>
      </c>
      <c r="D37" s="557">
        <v>642</v>
      </c>
      <c r="E37" s="559">
        <f>231313-0.12</f>
        <v>231312.88</v>
      </c>
      <c r="F37" s="516" t="s">
        <v>477</v>
      </c>
      <c r="G37" s="286" t="s">
        <v>432</v>
      </c>
      <c r="H37" s="308">
        <v>6000</v>
      </c>
      <c r="I37" s="308">
        <v>6000</v>
      </c>
      <c r="J37" s="308">
        <v>14620</v>
      </c>
      <c r="K37" s="308">
        <v>14620</v>
      </c>
      <c r="L37" s="308">
        <v>14620</v>
      </c>
      <c r="M37" s="308">
        <v>14620</v>
      </c>
      <c r="N37" s="338">
        <v>14620</v>
      </c>
      <c r="O37" s="308">
        <v>14620</v>
      </c>
      <c r="P37" s="308">
        <v>14620</v>
      </c>
      <c r="Q37" s="308">
        <v>14620</v>
      </c>
      <c r="R37" s="308">
        <v>14620</v>
      </c>
      <c r="S37" s="308">
        <v>14620</v>
      </c>
      <c r="T37" s="308">
        <f>14620</f>
        <v>14620</v>
      </c>
      <c r="U37" s="308">
        <v>14620</v>
      </c>
      <c r="V37" s="308">
        <v>14620</v>
      </c>
      <c r="W37" s="309">
        <f>14620+14632.88</f>
        <v>29252.879999999997</v>
      </c>
      <c r="X37" s="449">
        <f t="shared" si="1"/>
        <v>231312.88</v>
      </c>
    </row>
    <row r="38" spans="1:24" s="59" customFormat="1" x14ac:dyDescent="0.2">
      <c r="A38" s="556"/>
      <c r="B38" s="310" t="s">
        <v>478</v>
      </c>
      <c r="C38" s="517"/>
      <c r="D38" s="558"/>
      <c r="E38" s="560"/>
      <c r="F38" s="517"/>
      <c r="G38" s="284">
        <v>2.5000000000000001E-3</v>
      </c>
      <c r="H38" s="312">
        <v>1020</v>
      </c>
      <c r="I38" s="312">
        <v>1140</v>
      </c>
      <c r="J38" s="312">
        <v>1100</v>
      </c>
      <c r="K38" s="312">
        <v>1030</v>
      </c>
      <c r="L38" s="312">
        <v>955</v>
      </c>
      <c r="M38" s="312">
        <v>880</v>
      </c>
      <c r="N38" s="339">
        <v>805</v>
      </c>
      <c r="O38" s="312">
        <v>735</v>
      </c>
      <c r="P38" s="312">
        <v>660</v>
      </c>
      <c r="Q38" s="312">
        <v>585</v>
      </c>
      <c r="R38" s="312">
        <v>510</v>
      </c>
      <c r="S38" s="312">
        <v>435</v>
      </c>
      <c r="T38" s="312">
        <v>360</v>
      </c>
      <c r="U38" s="312">
        <v>290</v>
      </c>
      <c r="V38" s="312">
        <v>215</v>
      </c>
      <c r="W38" s="313">
        <v>205</v>
      </c>
      <c r="X38" s="450">
        <f t="shared" si="1"/>
        <v>10925</v>
      </c>
    </row>
    <row r="39" spans="1:24" s="59" customFormat="1" ht="20.25" customHeight="1" x14ac:dyDescent="0.2">
      <c r="A39" s="541">
        <v>17</v>
      </c>
      <c r="B39" s="300" t="s">
        <v>433</v>
      </c>
      <c r="C39" s="524" t="s">
        <v>479</v>
      </c>
      <c r="D39" s="543">
        <v>643</v>
      </c>
      <c r="E39" s="545">
        <f>65353+64222+85311-80000-1794.36</f>
        <v>133091.64000000001</v>
      </c>
      <c r="F39" s="524" t="s">
        <v>480</v>
      </c>
      <c r="G39" s="281" t="s">
        <v>432</v>
      </c>
      <c r="H39" s="301">
        <v>500.19</v>
      </c>
      <c r="I39" s="301">
        <v>1000</v>
      </c>
      <c r="J39" s="301">
        <v>2000</v>
      </c>
      <c r="K39" s="301">
        <v>21928</v>
      </c>
      <c r="L39" s="301">
        <v>21928</v>
      </c>
      <c r="M39" s="301">
        <v>21928</v>
      </c>
      <c r="N39" s="301">
        <v>21923</v>
      </c>
      <c r="O39" s="315"/>
      <c r="P39" s="315"/>
      <c r="Q39" s="315"/>
      <c r="R39" s="315"/>
      <c r="S39" s="315"/>
      <c r="T39" s="315"/>
      <c r="U39" s="315"/>
      <c r="V39" s="315"/>
      <c r="W39" s="316"/>
      <c r="X39" s="447">
        <f t="shared" ref="X39:X70" si="2">SUM(H39:W39)</f>
        <v>91207.19</v>
      </c>
    </row>
    <row r="40" spans="1:24" s="59" customFormat="1" ht="23.25" customHeight="1" x14ac:dyDescent="0.2">
      <c r="A40" s="542"/>
      <c r="B40" s="317" t="s">
        <v>481</v>
      </c>
      <c r="C40" s="525"/>
      <c r="D40" s="544"/>
      <c r="E40" s="546"/>
      <c r="F40" s="525"/>
      <c r="G40" s="282">
        <v>2.5000000000000001E-3</v>
      </c>
      <c r="H40" s="304">
        <v>405</v>
      </c>
      <c r="I40" s="304">
        <v>460</v>
      </c>
      <c r="J40" s="304">
        <v>455</v>
      </c>
      <c r="K40" s="304">
        <v>425</v>
      </c>
      <c r="L40" s="304">
        <v>320</v>
      </c>
      <c r="M40" s="304">
        <v>210</v>
      </c>
      <c r="N40" s="304">
        <v>100</v>
      </c>
      <c r="O40" s="319"/>
      <c r="P40" s="319"/>
      <c r="Q40" s="319"/>
      <c r="R40" s="319"/>
      <c r="S40" s="319"/>
      <c r="T40" s="319"/>
      <c r="U40" s="319"/>
      <c r="V40" s="319"/>
      <c r="W40" s="320"/>
      <c r="X40" s="448">
        <f t="shared" si="2"/>
        <v>2375</v>
      </c>
    </row>
    <row r="41" spans="1:24" s="59" customFormat="1" ht="16.5" customHeight="1" x14ac:dyDescent="0.2">
      <c r="A41" s="541">
        <v>18</v>
      </c>
      <c r="B41" s="300" t="s">
        <v>433</v>
      </c>
      <c r="C41" s="543" t="s">
        <v>482</v>
      </c>
      <c r="D41" s="543">
        <v>644</v>
      </c>
      <c r="E41" s="545">
        <f>1188567-257831-28891.82</f>
        <v>901844.18</v>
      </c>
      <c r="F41" s="524" t="s">
        <v>483</v>
      </c>
      <c r="G41" s="281" t="s">
        <v>432</v>
      </c>
      <c r="H41" s="301">
        <v>374.5</v>
      </c>
      <c r="I41" s="301">
        <v>1000</v>
      </c>
      <c r="J41" s="301">
        <v>2000</v>
      </c>
      <c r="K41" s="301">
        <v>6000</v>
      </c>
      <c r="L41" s="301">
        <v>10000</v>
      </c>
      <c r="M41" s="301">
        <v>16000</v>
      </c>
      <c r="N41" s="301">
        <v>36800</v>
      </c>
      <c r="O41" s="301">
        <v>36800</v>
      </c>
      <c r="P41" s="301">
        <v>36800</v>
      </c>
      <c r="Q41" s="301">
        <v>36800</v>
      </c>
      <c r="R41" s="301">
        <v>36800</v>
      </c>
      <c r="S41" s="301">
        <v>36800</v>
      </c>
      <c r="T41" s="301">
        <v>36800</v>
      </c>
      <c r="U41" s="301">
        <v>36800</v>
      </c>
      <c r="V41" s="301">
        <v>36800</v>
      </c>
      <c r="W41" s="302">
        <v>450602</v>
      </c>
      <c r="X41" s="447">
        <f t="shared" si="2"/>
        <v>817176.5</v>
      </c>
    </row>
    <row r="42" spans="1:24" s="59" customFormat="1" ht="15.75" customHeight="1" x14ac:dyDescent="0.2">
      <c r="A42" s="542"/>
      <c r="B42" s="303" t="s">
        <v>484</v>
      </c>
      <c r="C42" s="544"/>
      <c r="D42" s="544"/>
      <c r="E42" s="546"/>
      <c r="F42" s="525"/>
      <c r="G42" s="282">
        <v>2.5000000000000001E-3</v>
      </c>
      <c r="H42" s="304">
        <v>3110</v>
      </c>
      <c r="I42" s="304">
        <v>4140</v>
      </c>
      <c r="J42" s="304">
        <v>4135</v>
      </c>
      <c r="K42" s="304">
        <v>4135</v>
      </c>
      <c r="L42" s="304">
        <v>4090</v>
      </c>
      <c r="M42" s="304">
        <v>4035</v>
      </c>
      <c r="N42" s="304">
        <v>3930</v>
      </c>
      <c r="O42" s="304">
        <v>3760</v>
      </c>
      <c r="P42" s="304">
        <v>3565</v>
      </c>
      <c r="Q42" s="304">
        <v>3375</v>
      </c>
      <c r="R42" s="304">
        <v>3190</v>
      </c>
      <c r="S42" s="304">
        <v>3015</v>
      </c>
      <c r="T42" s="304">
        <v>2820</v>
      </c>
      <c r="U42" s="304">
        <v>2630</v>
      </c>
      <c r="V42" s="304">
        <v>2445</v>
      </c>
      <c r="W42" s="305">
        <v>14800</v>
      </c>
      <c r="X42" s="448">
        <f t="shared" si="2"/>
        <v>67175</v>
      </c>
    </row>
    <row r="43" spans="1:24" s="59" customFormat="1" ht="20.25" customHeight="1" x14ac:dyDescent="0.2">
      <c r="A43" s="541">
        <v>19</v>
      </c>
      <c r="B43" s="300" t="s">
        <v>433</v>
      </c>
      <c r="C43" s="543" t="s">
        <v>485</v>
      </c>
      <c r="D43" s="543">
        <v>645</v>
      </c>
      <c r="E43" s="545">
        <v>785535</v>
      </c>
      <c r="F43" s="524" t="s">
        <v>486</v>
      </c>
      <c r="G43" s="281" t="s">
        <v>432</v>
      </c>
      <c r="H43" s="301">
        <v>375</v>
      </c>
      <c r="I43" s="301">
        <v>2000</v>
      </c>
      <c r="J43" s="301">
        <v>4000</v>
      </c>
      <c r="K43" s="301">
        <v>6000</v>
      </c>
      <c r="L43" s="301">
        <v>10000</v>
      </c>
      <c r="M43" s="301">
        <v>20000</v>
      </c>
      <c r="N43" s="301">
        <v>66200</v>
      </c>
      <c r="O43" s="301">
        <v>66200</v>
      </c>
      <c r="P43" s="301">
        <v>66200</v>
      </c>
      <c r="Q43" s="301">
        <v>66200</v>
      </c>
      <c r="R43" s="301">
        <v>66200</v>
      </c>
      <c r="S43" s="301">
        <v>66200</v>
      </c>
      <c r="T43" s="301">
        <v>66200</v>
      </c>
      <c r="U43" s="301">
        <v>66200</v>
      </c>
      <c r="V43" s="301">
        <v>66200</v>
      </c>
      <c r="W43" s="302">
        <f>66200+66200+14960</f>
        <v>147360</v>
      </c>
      <c r="X43" s="447">
        <f t="shared" si="2"/>
        <v>785535</v>
      </c>
    </row>
    <row r="44" spans="1:24" s="59" customFormat="1" ht="20.25" customHeight="1" x14ac:dyDescent="0.2">
      <c r="A44" s="542"/>
      <c r="B44" s="303" t="s">
        <v>487</v>
      </c>
      <c r="C44" s="544"/>
      <c r="D44" s="544"/>
      <c r="E44" s="546"/>
      <c r="F44" s="525"/>
      <c r="G44" s="282">
        <v>2.5000000000000001E-3</v>
      </c>
      <c r="H44" s="304">
        <v>2495</v>
      </c>
      <c r="I44" s="304">
        <v>3980</v>
      </c>
      <c r="J44" s="304">
        <v>3970</v>
      </c>
      <c r="K44" s="304">
        <v>3960</v>
      </c>
      <c r="L44" s="304">
        <v>3915</v>
      </c>
      <c r="M44" s="304">
        <v>3855</v>
      </c>
      <c r="N44" s="304">
        <v>3705</v>
      </c>
      <c r="O44" s="304">
        <v>3390</v>
      </c>
      <c r="P44" s="304">
        <v>3045</v>
      </c>
      <c r="Q44" s="304">
        <v>2710</v>
      </c>
      <c r="R44" s="304">
        <v>2375</v>
      </c>
      <c r="S44" s="304">
        <v>2045</v>
      </c>
      <c r="T44" s="304">
        <v>1705</v>
      </c>
      <c r="U44" s="304">
        <v>1370</v>
      </c>
      <c r="V44" s="304">
        <v>1035</v>
      </c>
      <c r="W44" s="305">
        <v>1115</v>
      </c>
      <c r="X44" s="448">
        <f t="shared" si="2"/>
        <v>44670</v>
      </c>
    </row>
    <row r="45" spans="1:24" s="59" customFormat="1" ht="27" customHeight="1" x14ac:dyDescent="0.2">
      <c r="A45" s="555">
        <v>20</v>
      </c>
      <c r="B45" s="306" t="s">
        <v>433</v>
      </c>
      <c r="C45" s="557" t="s">
        <v>661</v>
      </c>
      <c r="D45" s="557">
        <v>646</v>
      </c>
      <c r="E45" s="561">
        <f>2223157+31089</f>
        <v>2254246</v>
      </c>
      <c r="F45" s="516" t="s">
        <v>488</v>
      </c>
      <c r="G45" s="286" t="s">
        <v>432</v>
      </c>
      <c r="H45" s="338">
        <v>1500</v>
      </c>
      <c r="I45" s="338">
        <v>4000</v>
      </c>
      <c r="J45" s="338">
        <v>6000</v>
      </c>
      <c r="K45" s="338">
        <v>10000</v>
      </c>
      <c r="L45" s="338">
        <v>20000</v>
      </c>
      <c r="M45" s="338">
        <v>40000</v>
      </c>
      <c r="N45" s="338">
        <v>102248</v>
      </c>
      <c r="O45" s="338">
        <v>102248</v>
      </c>
      <c r="P45" s="338">
        <v>102248</v>
      </c>
      <c r="Q45" s="338">
        <v>102248</v>
      </c>
      <c r="R45" s="338">
        <v>102248</v>
      </c>
      <c r="S45" s="338">
        <v>102248</v>
      </c>
      <c r="T45" s="338">
        <v>102248</v>
      </c>
      <c r="U45" s="338">
        <v>102248</v>
      </c>
      <c r="V45" s="338">
        <v>102248</v>
      </c>
      <c r="W45" s="340">
        <v>1252514</v>
      </c>
      <c r="X45" s="449">
        <f t="shared" si="2"/>
        <v>2254246</v>
      </c>
    </row>
    <row r="46" spans="1:24" s="59" customFormat="1" ht="28.5" customHeight="1" x14ac:dyDescent="0.2">
      <c r="A46" s="556"/>
      <c r="B46" s="341" t="s">
        <v>489</v>
      </c>
      <c r="C46" s="558"/>
      <c r="D46" s="558"/>
      <c r="E46" s="562"/>
      <c r="F46" s="517"/>
      <c r="G46" s="284">
        <v>2.5000000000000001E-3</v>
      </c>
      <c r="H46" s="339">
        <v>7155</v>
      </c>
      <c r="I46" s="339">
        <v>11420</v>
      </c>
      <c r="J46" s="339">
        <v>11395</v>
      </c>
      <c r="K46" s="339">
        <v>11395</v>
      </c>
      <c r="L46" s="339">
        <v>11305</v>
      </c>
      <c r="M46" s="339">
        <v>11185</v>
      </c>
      <c r="N46" s="339">
        <v>10920</v>
      </c>
      <c r="O46" s="339">
        <v>10450</v>
      </c>
      <c r="P46" s="339">
        <v>9900</v>
      </c>
      <c r="Q46" s="339">
        <v>9380</v>
      </c>
      <c r="R46" s="339">
        <v>8865</v>
      </c>
      <c r="S46" s="339">
        <v>8370</v>
      </c>
      <c r="T46" s="339">
        <v>7825</v>
      </c>
      <c r="U46" s="339">
        <v>7310</v>
      </c>
      <c r="V46" s="339">
        <v>6790</v>
      </c>
      <c r="W46" s="342">
        <v>41155</v>
      </c>
      <c r="X46" s="450">
        <f t="shared" si="2"/>
        <v>184820</v>
      </c>
    </row>
    <row r="47" spans="1:24" s="59" customFormat="1" ht="21" customHeight="1" x14ac:dyDescent="0.2">
      <c r="A47" s="541">
        <v>21</v>
      </c>
      <c r="B47" s="300" t="s">
        <v>433</v>
      </c>
      <c r="C47" s="543" t="s">
        <v>490</v>
      </c>
      <c r="D47" s="543">
        <v>647</v>
      </c>
      <c r="E47" s="545">
        <v>1632032</v>
      </c>
      <c r="F47" s="524" t="s">
        <v>488</v>
      </c>
      <c r="G47" s="281" t="s">
        <v>432</v>
      </c>
      <c r="H47" s="301">
        <v>375.82</v>
      </c>
      <c r="I47" s="301">
        <v>2000</v>
      </c>
      <c r="J47" s="301">
        <v>6000</v>
      </c>
      <c r="K47" s="301">
        <v>20000</v>
      </c>
      <c r="L47" s="301">
        <v>40000</v>
      </c>
      <c r="M47" s="301">
        <v>60000</v>
      </c>
      <c r="N47" s="301">
        <v>65168</v>
      </c>
      <c r="O47" s="301">
        <v>65168</v>
      </c>
      <c r="P47" s="301">
        <v>65168</v>
      </c>
      <c r="Q47" s="301">
        <v>65168</v>
      </c>
      <c r="R47" s="301">
        <v>65168</v>
      </c>
      <c r="S47" s="301">
        <v>65168</v>
      </c>
      <c r="T47" s="301">
        <v>65168</v>
      </c>
      <c r="U47" s="301">
        <v>65168</v>
      </c>
      <c r="V47" s="301">
        <v>65168</v>
      </c>
      <c r="W47" s="302">
        <v>798289</v>
      </c>
      <c r="X47" s="447">
        <f t="shared" si="2"/>
        <v>1513176.82</v>
      </c>
    </row>
    <row r="48" spans="1:24" s="59" customFormat="1" ht="21" customHeight="1" x14ac:dyDescent="0.2">
      <c r="A48" s="542"/>
      <c r="B48" s="303" t="s">
        <v>491</v>
      </c>
      <c r="C48" s="544"/>
      <c r="D48" s="544"/>
      <c r="E48" s="546"/>
      <c r="F48" s="525"/>
      <c r="G48" s="282">
        <v>2.5000000000000001E-3</v>
      </c>
      <c r="H48" s="304">
        <v>4805</v>
      </c>
      <c r="I48" s="304">
        <v>7670</v>
      </c>
      <c r="J48" s="304">
        <v>7655</v>
      </c>
      <c r="K48" s="304">
        <v>7630</v>
      </c>
      <c r="L48" s="304">
        <v>7495</v>
      </c>
      <c r="M48" s="304">
        <v>7275</v>
      </c>
      <c r="N48" s="304">
        <v>6970</v>
      </c>
      <c r="O48" s="304">
        <v>6660</v>
      </c>
      <c r="P48" s="304">
        <v>6310</v>
      </c>
      <c r="Q48" s="304">
        <v>5980</v>
      </c>
      <c r="R48" s="304">
        <v>5650</v>
      </c>
      <c r="S48" s="304">
        <v>5335</v>
      </c>
      <c r="T48" s="304">
        <v>4990</v>
      </c>
      <c r="U48" s="304">
        <v>4660</v>
      </c>
      <c r="V48" s="304">
        <v>4330</v>
      </c>
      <c r="W48" s="305">
        <v>26230</v>
      </c>
      <c r="X48" s="448">
        <f t="shared" si="2"/>
        <v>119645</v>
      </c>
    </row>
    <row r="49" spans="1:24" s="59" customFormat="1" ht="27.75" customHeight="1" x14ac:dyDescent="0.2">
      <c r="A49" s="555">
        <v>22</v>
      </c>
      <c r="B49" s="306" t="s">
        <v>433</v>
      </c>
      <c r="C49" s="557" t="s">
        <v>492</v>
      </c>
      <c r="D49" s="557">
        <v>649</v>
      </c>
      <c r="E49" s="561">
        <f>1181972+164205</f>
        <v>1346177</v>
      </c>
      <c r="F49" s="516" t="s">
        <v>662</v>
      </c>
      <c r="G49" s="286" t="s">
        <v>432</v>
      </c>
      <c r="H49" s="338">
        <v>500</v>
      </c>
      <c r="I49" s="338">
        <v>2000</v>
      </c>
      <c r="J49" s="338">
        <v>6000</v>
      </c>
      <c r="K49" s="338">
        <v>10000</v>
      </c>
      <c r="L49" s="338">
        <v>20000</v>
      </c>
      <c r="M49" s="338">
        <v>40000</v>
      </c>
      <c r="N49" s="338">
        <v>51324</v>
      </c>
      <c r="O49" s="338">
        <v>59336</v>
      </c>
      <c r="P49" s="338">
        <v>59336</v>
      </c>
      <c r="Q49" s="338">
        <v>59336</v>
      </c>
      <c r="R49" s="338">
        <v>59336</v>
      </c>
      <c r="S49" s="338">
        <v>59336</v>
      </c>
      <c r="T49" s="338">
        <v>59336</v>
      </c>
      <c r="U49" s="338">
        <v>59336</v>
      </c>
      <c r="V49" s="338">
        <v>59336</v>
      </c>
      <c r="W49" s="340">
        <v>741665</v>
      </c>
      <c r="X49" s="449">
        <f t="shared" si="2"/>
        <v>1346177</v>
      </c>
    </row>
    <row r="50" spans="1:24" s="59" customFormat="1" ht="26.25" customHeight="1" x14ac:dyDescent="0.2">
      <c r="A50" s="556"/>
      <c r="B50" s="341" t="s">
        <v>493</v>
      </c>
      <c r="C50" s="558"/>
      <c r="D50" s="558"/>
      <c r="E50" s="562"/>
      <c r="F50" s="517"/>
      <c r="G50" s="284">
        <v>2.5000000000000001E-3</v>
      </c>
      <c r="H50" s="339">
        <v>4275</v>
      </c>
      <c r="I50" s="339">
        <v>6820</v>
      </c>
      <c r="J50" s="339">
        <v>6810</v>
      </c>
      <c r="K50" s="339">
        <v>6795</v>
      </c>
      <c r="L50" s="339">
        <v>6715</v>
      </c>
      <c r="M50" s="339">
        <v>6595</v>
      </c>
      <c r="N50" s="339">
        <v>6385</v>
      </c>
      <c r="O50" s="339">
        <v>6135</v>
      </c>
      <c r="P50" s="339">
        <v>5820</v>
      </c>
      <c r="Q50" s="339">
        <v>5520</v>
      </c>
      <c r="R50" s="339">
        <v>5220</v>
      </c>
      <c r="S50" s="339">
        <v>4935</v>
      </c>
      <c r="T50" s="339">
        <v>4620</v>
      </c>
      <c r="U50" s="339">
        <v>4320</v>
      </c>
      <c r="V50" s="339">
        <v>4015</v>
      </c>
      <c r="W50" s="342">
        <v>24840</v>
      </c>
      <c r="X50" s="450">
        <f t="shared" si="2"/>
        <v>109820</v>
      </c>
    </row>
    <row r="51" spans="1:24" s="59" customFormat="1" ht="23.25" customHeight="1" x14ac:dyDescent="0.2">
      <c r="A51" s="541">
        <v>23</v>
      </c>
      <c r="B51" s="300" t="s">
        <v>433</v>
      </c>
      <c r="C51" s="543" t="s">
        <v>663</v>
      </c>
      <c r="D51" s="543">
        <v>650</v>
      </c>
      <c r="E51" s="545">
        <f>1108154-97425-61240.54</f>
        <v>949488.46</v>
      </c>
      <c r="F51" s="524" t="s">
        <v>664</v>
      </c>
      <c r="G51" s="281" t="s">
        <v>432</v>
      </c>
      <c r="H51" s="301">
        <v>750.21</v>
      </c>
      <c r="I51" s="301">
        <v>2000</v>
      </c>
      <c r="J51" s="301">
        <v>4000</v>
      </c>
      <c r="K51" s="301">
        <v>10000</v>
      </c>
      <c r="L51" s="301">
        <v>16000</v>
      </c>
      <c r="M51" s="301">
        <v>28000</v>
      </c>
      <c r="N51" s="301">
        <v>35944</v>
      </c>
      <c r="O51" s="301">
        <v>35944</v>
      </c>
      <c r="P51" s="301">
        <v>35944</v>
      </c>
      <c r="Q51" s="301">
        <v>35944</v>
      </c>
      <c r="R51" s="301">
        <v>35944</v>
      </c>
      <c r="S51" s="301">
        <v>35944</v>
      </c>
      <c r="T51" s="301">
        <v>35944</v>
      </c>
      <c r="U51" s="301">
        <v>35944</v>
      </c>
      <c r="V51" s="301">
        <v>35944</v>
      </c>
      <c r="W51" s="302">
        <v>440294</v>
      </c>
      <c r="X51" s="447">
        <f t="shared" si="2"/>
        <v>824540.21</v>
      </c>
    </row>
    <row r="52" spans="1:24" s="59" customFormat="1" ht="20.25" customHeight="1" x14ac:dyDescent="0.2">
      <c r="A52" s="542"/>
      <c r="B52" s="303" t="s">
        <v>494</v>
      </c>
      <c r="C52" s="544"/>
      <c r="D52" s="544"/>
      <c r="E52" s="546"/>
      <c r="F52" s="525"/>
      <c r="G52" s="282">
        <v>2.5000000000000001E-3</v>
      </c>
      <c r="H52" s="304">
        <v>2620</v>
      </c>
      <c r="I52" s="304">
        <v>4175</v>
      </c>
      <c r="J52" s="304">
        <v>4165</v>
      </c>
      <c r="K52" s="304">
        <v>4150</v>
      </c>
      <c r="L52" s="304">
        <v>4085</v>
      </c>
      <c r="M52" s="304">
        <v>3990</v>
      </c>
      <c r="N52" s="304">
        <v>3845</v>
      </c>
      <c r="O52" s="304">
        <v>3675</v>
      </c>
      <c r="P52" s="304">
        <v>3480</v>
      </c>
      <c r="Q52" s="304">
        <v>3300</v>
      </c>
      <c r="R52" s="304">
        <v>3120</v>
      </c>
      <c r="S52" s="304">
        <v>2945</v>
      </c>
      <c r="T52" s="304">
        <v>2755</v>
      </c>
      <c r="U52" s="304">
        <v>2570</v>
      </c>
      <c r="V52" s="304">
        <v>2390</v>
      </c>
      <c r="W52" s="305">
        <v>14470</v>
      </c>
      <c r="X52" s="448">
        <f t="shared" si="2"/>
        <v>65735</v>
      </c>
    </row>
    <row r="53" spans="1:24" s="59" customFormat="1" x14ac:dyDescent="0.2">
      <c r="A53" s="555">
        <v>24</v>
      </c>
      <c r="B53" s="306" t="s">
        <v>433</v>
      </c>
      <c r="C53" s="557" t="s">
        <v>665</v>
      </c>
      <c r="D53" s="557">
        <v>651</v>
      </c>
      <c r="E53" s="559">
        <f>225000-4003.53</f>
        <v>220996.47</v>
      </c>
      <c r="F53" s="516" t="s">
        <v>666</v>
      </c>
      <c r="G53" s="286" t="s">
        <v>432</v>
      </c>
      <c r="H53" s="338">
        <v>375</v>
      </c>
      <c r="I53" s="338">
        <v>2000</v>
      </c>
      <c r="J53" s="338">
        <v>4000</v>
      </c>
      <c r="K53" s="338">
        <v>6000</v>
      </c>
      <c r="L53" s="338">
        <v>8000</v>
      </c>
      <c r="M53" s="338">
        <v>16380</v>
      </c>
      <c r="N53" s="338">
        <v>16380</v>
      </c>
      <c r="O53" s="338">
        <v>16380</v>
      </c>
      <c r="P53" s="338">
        <v>16380</v>
      </c>
      <c r="Q53" s="338">
        <v>16380</v>
      </c>
      <c r="R53" s="338">
        <v>16380</v>
      </c>
      <c r="S53" s="338">
        <v>16380</v>
      </c>
      <c r="T53" s="338">
        <v>16380</v>
      </c>
      <c r="U53" s="338">
        <v>16380</v>
      </c>
      <c r="V53" s="338">
        <v>16380</v>
      </c>
      <c r="W53" s="340">
        <f>16380+16380+4061.47</f>
        <v>36821.47</v>
      </c>
      <c r="X53" s="449">
        <f t="shared" si="2"/>
        <v>220996.47</v>
      </c>
    </row>
    <row r="54" spans="1:24" s="59" customFormat="1" x14ac:dyDescent="0.2">
      <c r="A54" s="556"/>
      <c r="B54" s="341" t="s">
        <v>495</v>
      </c>
      <c r="C54" s="558"/>
      <c r="D54" s="558"/>
      <c r="E54" s="560"/>
      <c r="F54" s="517"/>
      <c r="G54" s="284">
        <v>2.5000000000000001E-3</v>
      </c>
      <c r="H54" s="339">
        <v>705</v>
      </c>
      <c r="I54" s="339">
        <v>1120</v>
      </c>
      <c r="J54" s="339">
        <v>1105</v>
      </c>
      <c r="K54" s="339">
        <v>1090</v>
      </c>
      <c r="L54" s="339">
        <v>1055</v>
      </c>
      <c r="M54" s="339">
        <v>1005</v>
      </c>
      <c r="N54" s="339">
        <v>925</v>
      </c>
      <c r="O54" s="339">
        <v>845</v>
      </c>
      <c r="P54" s="339">
        <v>760</v>
      </c>
      <c r="Q54" s="339">
        <v>675</v>
      </c>
      <c r="R54" s="339">
        <v>590</v>
      </c>
      <c r="S54" s="339">
        <v>510</v>
      </c>
      <c r="T54" s="339">
        <v>425</v>
      </c>
      <c r="U54" s="339">
        <v>340</v>
      </c>
      <c r="V54" s="339">
        <v>260</v>
      </c>
      <c r="W54" s="342">
        <v>280</v>
      </c>
      <c r="X54" s="450">
        <f t="shared" si="2"/>
        <v>11690</v>
      </c>
    </row>
    <row r="55" spans="1:24" s="343" customFormat="1" x14ac:dyDescent="0.2">
      <c r="A55" s="541">
        <v>25</v>
      </c>
      <c r="B55" s="300" t="s">
        <v>433</v>
      </c>
      <c r="C55" s="543" t="s">
        <v>823</v>
      </c>
      <c r="D55" s="543">
        <v>652</v>
      </c>
      <c r="E55" s="545">
        <f>888438-1.11</f>
        <v>888436.89</v>
      </c>
      <c r="F55" s="524" t="s">
        <v>667</v>
      </c>
      <c r="G55" s="281" t="s">
        <v>432</v>
      </c>
      <c r="H55" s="301">
        <v>500</v>
      </c>
      <c r="I55" s="301">
        <v>2500</v>
      </c>
      <c r="J55" s="301">
        <v>6000</v>
      </c>
      <c r="K55" s="301">
        <v>10000</v>
      </c>
      <c r="L55" s="301">
        <v>20000</v>
      </c>
      <c r="M55" s="301">
        <v>40000</v>
      </c>
      <c r="N55" s="301">
        <v>70384</v>
      </c>
      <c r="O55" s="301">
        <v>70384</v>
      </c>
      <c r="P55" s="301">
        <v>70384</v>
      </c>
      <c r="Q55" s="301">
        <v>70384</v>
      </c>
      <c r="R55" s="301">
        <v>70384</v>
      </c>
      <c r="S55" s="301">
        <v>70384</v>
      </c>
      <c r="T55" s="301">
        <v>70384</v>
      </c>
      <c r="U55" s="301">
        <v>70384</v>
      </c>
      <c r="V55" s="301">
        <v>70384</v>
      </c>
      <c r="W55" s="302">
        <v>175980.89</v>
      </c>
      <c r="X55" s="447">
        <f t="shared" si="2"/>
        <v>888436.89</v>
      </c>
    </row>
    <row r="56" spans="1:24" s="343" customFormat="1" x14ac:dyDescent="0.2">
      <c r="A56" s="542"/>
      <c r="B56" s="303" t="s">
        <v>496</v>
      </c>
      <c r="C56" s="544"/>
      <c r="D56" s="544"/>
      <c r="E56" s="546"/>
      <c r="F56" s="525"/>
      <c r="G56" s="282">
        <v>2.5000000000000001E-3</v>
      </c>
      <c r="H56" s="304">
        <v>2820</v>
      </c>
      <c r="I56" s="304">
        <v>4500</v>
      </c>
      <c r="J56" s="304">
        <v>4485</v>
      </c>
      <c r="K56" s="304">
        <v>4465</v>
      </c>
      <c r="L56" s="304">
        <v>4390</v>
      </c>
      <c r="M56" s="304">
        <v>4270</v>
      </c>
      <c r="N56" s="304">
        <v>4040</v>
      </c>
      <c r="O56" s="304">
        <v>3705</v>
      </c>
      <c r="P56" s="304">
        <v>3335</v>
      </c>
      <c r="Q56" s="304">
        <v>2980</v>
      </c>
      <c r="R56" s="304">
        <v>2625</v>
      </c>
      <c r="S56" s="304">
        <v>2275</v>
      </c>
      <c r="T56" s="304">
        <v>1910</v>
      </c>
      <c r="U56" s="304">
        <v>1555</v>
      </c>
      <c r="V56" s="304">
        <v>1195</v>
      </c>
      <c r="W56" s="305">
        <v>1450</v>
      </c>
      <c r="X56" s="448">
        <f t="shared" si="2"/>
        <v>50000</v>
      </c>
    </row>
    <row r="57" spans="1:24" s="59" customFormat="1" ht="20.25" customHeight="1" x14ac:dyDescent="0.2">
      <c r="A57" s="555">
        <v>26</v>
      </c>
      <c r="B57" s="306" t="s">
        <v>433</v>
      </c>
      <c r="C57" s="557" t="s">
        <v>824</v>
      </c>
      <c r="D57" s="557">
        <v>653</v>
      </c>
      <c r="E57" s="559">
        <f>74835+24822-0.26+294955-28536.73</f>
        <v>366075.01</v>
      </c>
      <c r="F57" s="516" t="s">
        <v>636</v>
      </c>
      <c r="G57" s="286" t="s">
        <v>432</v>
      </c>
      <c r="H57" s="418">
        <f>500.84+85688.98</f>
        <v>86189.819999999992</v>
      </c>
      <c r="I57" s="338">
        <v>27156</v>
      </c>
      <c r="J57" s="338">
        <v>27156</v>
      </c>
      <c r="K57" s="338">
        <v>27156</v>
      </c>
      <c r="L57" s="338">
        <v>27156</v>
      </c>
      <c r="M57" s="338">
        <v>27156</v>
      </c>
      <c r="N57" s="338">
        <v>27156</v>
      </c>
      <c r="O57" s="338">
        <v>13572</v>
      </c>
      <c r="P57" s="338"/>
      <c r="Q57" s="338"/>
      <c r="R57" s="338"/>
      <c r="S57" s="338"/>
      <c r="T57" s="338"/>
      <c r="U57" s="338"/>
      <c r="V57" s="338"/>
      <c r="W57" s="340"/>
      <c r="X57" s="449">
        <f t="shared" si="2"/>
        <v>262697.82</v>
      </c>
    </row>
    <row r="58" spans="1:24" s="59" customFormat="1" ht="21.75" customHeight="1" x14ac:dyDescent="0.2">
      <c r="A58" s="556"/>
      <c r="B58" s="341" t="s">
        <v>497</v>
      </c>
      <c r="C58" s="558"/>
      <c r="D58" s="558"/>
      <c r="E58" s="560"/>
      <c r="F58" s="517"/>
      <c r="G58" s="284">
        <v>2.5000000000000001E-3</v>
      </c>
      <c r="H58" s="339">
        <v>665</v>
      </c>
      <c r="I58" s="339">
        <v>870</v>
      </c>
      <c r="J58" s="339">
        <v>740</v>
      </c>
      <c r="K58" s="339">
        <v>600</v>
      </c>
      <c r="L58" s="339">
        <v>465</v>
      </c>
      <c r="M58" s="339">
        <v>325</v>
      </c>
      <c r="N58" s="339">
        <v>190</v>
      </c>
      <c r="O58" s="339">
        <v>50</v>
      </c>
      <c r="P58" s="339"/>
      <c r="Q58" s="339"/>
      <c r="R58" s="339"/>
      <c r="S58" s="339"/>
      <c r="T58" s="339"/>
      <c r="U58" s="339"/>
      <c r="V58" s="339"/>
      <c r="W58" s="342"/>
      <c r="X58" s="450">
        <f t="shared" si="2"/>
        <v>3905</v>
      </c>
    </row>
    <row r="59" spans="1:24" s="59" customFormat="1" ht="22.5" customHeight="1" x14ac:dyDescent="0.2">
      <c r="A59" s="541">
        <v>27</v>
      </c>
      <c r="B59" s="300" t="s">
        <v>433</v>
      </c>
      <c r="C59" s="543" t="s">
        <v>668</v>
      </c>
      <c r="D59" s="543">
        <v>654</v>
      </c>
      <c r="E59" s="545">
        <v>74150</v>
      </c>
      <c r="F59" s="524" t="s">
        <v>498</v>
      </c>
      <c r="G59" s="281" t="s">
        <v>432</v>
      </c>
      <c r="H59" s="301">
        <v>500</v>
      </c>
      <c r="I59" s="301">
        <v>2000</v>
      </c>
      <c r="J59" s="301">
        <v>3000</v>
      </c>
      <c r="K59" s="301">
        <v>4380</v>
      </c>
      <c r="L59" s="301">
        <v>4760</v>
      </c>
      <c r="M59" s="301">
        <v>4760</v>
      </c>
      <c r="N59" s="301">
        <v>4760</v>
      </c>
      <c r="O59" s="301">
        <v>4760</v>
      </c>
      <c r="P59" s="301">
        <v>4760</v>
      </c>
      <c r="Q59" s="301">
        <v>4760</v>
      </c>
      <c r="R59" s="301">
        <v>4760</v>
      </c>
      <c r="S59" s="301">
        <v>4760</v>
      </c>
      <c r="T59" s="301">
        <v>4760</v>
      </c>
      <c r="U59" s="301">
        <v>4760</v>
      </c>
      <c r="V59" s="301">
        <v>4760</v>
      </c>
      <c r="W59" s="302">
        <v>11910</v>
      </c>
      <c r="X59" s="447">
        <f t="shared" si="2"/>
        <v>74150</v>
      </c>
    </row>
    <row r="60" spans="1:24" s="59" customFormat="1" ht="19.5" customHeight="1" x14ac:dyDescent="0.2">
      <c r="A60" s="542"/>
      <c r="B60" s="303" t="s">
        <v>499</v>
      </c>
      <c r="C60" s="544"/>
      <c r="D60" s="544"/>
      <c r="E60" s="546"/>
      <c r="F60" s="525"/>
      <c r="G60" s="282">
        <v>2.5000000000000001E-3</v>
      </c>
      <c r="H60" s="304">
        <v>240</v>
      </c>
      <c r="I60" s="304">
        <v>375</v>
      </c>
      <c r="J60" s="304">
        <v>365</v>
      </c>
      <c r="K60" s="304">
        <v>350</v>
      </c>
      <c r="L60" s="304">
        <v>325</v>
      </c>
      <c r="M60" s="304">
        <v>300</v>
      </c>
      <c r="N60" s="304">
        <v>275</v>
      </c>
      <c r="O60" s="304">
        <v>255</v>
      </c>
      <c r="P60" s="304">
        <v>230</v>
      </c>
      <c r="Q60" s="304">
        <v>205</v>
      </c>
      <c r="R60" s="304">
        <v>180</v>
      </c>
      <c r="S60" s="304">
        <v>155</v>
      </c>
      <c r="T60" s="304">
        <v>130</v>
      </c>
      <c r="U60" s="304">
        <v>105</v>
      </c>
      <c r="V60" s="304">
        <v>85</v>
      </c>
      <c r="W60" s="305">
        <v>100</v>
      </c>
      <c r="X60" s="448">
        <f t="shared" si="2"/>
        <v>3675</v>
      </c>
    </row>
    <row r="61" spans="1:24" s="59" customFormat="1" ht="20.25" customHeight="1" x14ac:dyDescent="0.2">
      <c r="A61" s="555">
        <v>28</v>
      </c>
      <c r="B61" s="306" t="s">
        <v>433</v>
      </c>
      <c r="C61" s="557" t="s">
        <v>669</v>
      </c>
      <c r="D61" s="557">
        <v>655</v>
      </c>
      <c r="E61" s="559">
        <v>250000</v>
      </c>
      <c r="F61" s="516" t="s">
        <v>670</v>
      </c>
      <c r="G61" s="286" t="s">
        <v>432</v>
      </c>
      <c r="H61" s="338">
        <v>300</v>
      </c>
      <c r="I61" s="338">
        <v>1000</v>
      </c>
      <c r="J61" s="338">
        <v>2000</v>
      </c>
      <c r="K61" s="338">
        <v>3000</v>
      </c>
      <c r="L61" s="338">
        <v>6000</v>
      </c>
      <c r="M61" s="338">
        <v>18644</v>
      </c>
      <c r="N61" s="338">
        <v>18644</v>
      </c>
      <c r="O61" s="338">
        <v>18644</v>
      </c>
      <c r="P61" s="338">
        <v>18644</v>
      </c>
      <c r="Q61" s="338">
        <v>18644</v>
      </c>
      <c r="R61" s="338">
        <v>18644</v>
      </c>
      <c r="S61" s="338">
        <v>18644</v>
      </c>
      <c r="T61" s="338">
        <v>18644</v>
      </c>
      <c r="U61" s="338">
        <v>18644</v>
      </c>
      <c r="V61" s="338">
        <v>18644</v>
      </c>
      <c r="W61" s="340">
        <v>51260</v>
      </c>
      <c r="X61" s="449">
        <f t="shared" si="2"/>
        <v>250000</v>
      </c>
    </row>
    <row r="62" spans="1:24" s="59" customFormat="1" ht="21.75" customHeight="1" x14ac:dyDescent="0.2">
      <c r="A62" s="556"/>
      <c r="B62" s="341" t="s">
        <v>500</v>
      </c>
      <c r="C62" s="558"/>
      <c r="D62" s="558"/>
      <c r="E62" s="560"/>
      <c r="F62" s="517"/>
      <c r="G62" s="284">
        <v>2.5000000000000001E-3</v>
      </c>
      <c r="H62" s="339">
        <v>795</v>
      </c>
      <c r="I62" s="339">
        <v>1265</v>
      </c>
      <c r="J62" s="339">
        <v>1260</v>
      </c>
      <c r="K62" s="339">
        <v>1255</v>
      </c>
      <c r="L62" s="339">
        <v>1235</v>
      </c>
      <c r="M62" s="339">
        <v>1190</v>
      </c>
      <c r="N62" s="339">
        <v>1100</v>
      </c>
      <c r="O62" s="339">
        <v>1005</v>
      </c>
      <c r="P62" s="339">
        <v>910</v>
      </c>
      <c r="Q62" s="339">
        <v>815</v>
      </c>
      <c r="R62" s="339">
        <v>720</v>
      </c>
      <c r="S62" s="339">
        <v>630</v>
      </c>
      <c r="T62" s="339">
        <v>530</v>
      </c>
      <c r="U62" s="339">
        <v>435</v>
      </c>
      <c r="V62" s="339">
        <v>340</v>
      </c>
      <c r="W62" s="342">
        <v>455</v>
      </c>
      <c r="X62" s="450">
        <f t="shared" si="2"/>
        <v>13940</v>
      </c>
    </row>
    <row r="63" spans="1:24" s="59" customFormat="1" ht="23.25" customHeight="1" x14ac:dyDescent="0.2">
      <c r="A63" s="541">
        <v>29</v>
      </c>
      <c r="B63" s="300" t="s">
        <v>433</v>
      </c>
      <c r="C63" s="543" t="s">
        <v>671</v>
      </c>
      <c r="D63" s="543">
        <v>656</v>
      </c>
      <c r="E63" s="545">
        <v>4203541</v>
      </c>
      <c r="F63" s="524" t="s">
        <v>501</v>
      </c>
      <c r="G63" s="281" t="s">
        <v>432</v>
      </c>
      <c r="H63" s="330">
        <v>1000</v>
      </c>
      <c r="I63" s="330">
        <v>3000</v>
      </c>
      <c r="J63" s="330">
        <v>4000</v>
      </c>
      <c r="K63" s="330">
        <v>5000</v>
      </c>
      <c r="L63" s="330">
        <v>10000</v>
      </c>
      <c r="M63" s="330">
        <v>20000</v>
      </c>
      <c r="N63" s="330">
        <v>50000</v>
      </c>
      <c r="O63" s="330">
        <v>62000</v>
      </c>
      <c r="P63" s="330">
        <v>80000</v>
      </c>
      <c r="Q63" s="330">
        <v>223540</v>
      </c>
      <c r="R63" s="330">
        <v>223540</v>
      </c>
      <c r="S63" s="330">
        <v>223540</v>
      </c>
      <c r="T63" s="330">
        <v>223540</v>
      </c>
      <c r="U63" s="330">
        <v>223540</v>
      </c>
      <c r="V63" s="330">
        <v>223540</v>
      </c>
      <c r="W63" s="302">
        <v>2626551</v>
      </c>
      <c r="X63" s="447">
        <f t="shared" si="2"/>
        <v>4202791</v>
      </c>
    </row>
    <row r="64" spans="1:24" s="59" customFormat="1" ht="21.75" customHeight="1" x14ac:dyDescent="0.2">
      <c r="A64" s="542"/>
      <c r="B64" s="303" t="s">
        <v>502</v>
      </c>
      <c r="C64" s="544"/>
      <c r="D64" s="544"/>
      <c r="E64" s="546"/>
      <c r="F64" s="525"/>
      <c r="G64" s="282">
        <v>2.5000000000000001E-3</v>
      </c>
      <c r="H64" s="332">
        <f>21310-10655</f>
        <v>10655</v>
      </c>
      <c r="I64" s="332">
        <v>21300</v>
      </c>
      <c r="J64" s="332">
        <v>21285</v>
      </c>
      <c r="K64" s="332">
        <v>21320</v>
      </c>
      <c r="L64" s="332">
        <v>21235</v>
      </c>
      <c r="M64" s="332">
        <v>21175</v>
      </c>
      <c r="N64" s="332">
        <v>21045</v>
      </c>
      <c r="O64" s="332">
        <v>20840</v>
      </c>
      <c r="P64" s="332">
        <v>20455</v>
      </c>
      <c r="Q64" s="332">
        <v>19900</v>
      </c>
      <c r="R64" s="332">
        <v>18810</v>
      </c>
      <c r="S64" s="332">
        <v>17725</v>
      </c>
      <c r="T64" s="332">
        <v>16545</v>
      </c>
      <c r="U64" s="332">
        <v>15410</v>
      </c>
      <c r="V64" s="332">
        <v>14275</v>
      </c>
      <c r="W64" s="305">
        <v>82970</v>
      </c>
      <c r="X64" s="448">
        <f t="shared" si="2"/>
        <v>364945</v>
      </c>
    </row>
    <row r="65" spans="1:24" s="59" customFormat="1" ht="30.75" customHeight="1" x14ac:dyDescent="0.2">
      <c r="A65" s="555">
        <v>30</v>
      </c>
      <c r="B65" s="306" t="s">
        <v>433</v>
      </c>
      <c r="C65" s="557" t="s">
        <v>672</v>
      </c>
      <c r="D65" s="557">
        <v>657</v>
      </c>
      <c r="E65" s="561">
        <v>546548</v>
      </c>
      <c r="F65" s="516" t="s">
        <v>503</v>
      </c>
      <c r="G65" s="286" t="s">
        <v>432</v>
      </c>
      <c r="H65" s="338">
        <v>250.15</v>
      </c>
      <c r="I65" s="338">
        <v>2250</v>
      </c>
      <c r="J65" s="338">
        <v>8000</v>
      </c>
      <c r="K65" s="338">
        <v>70472</v>
      </c>
      <c r="L65" s="338">
        <v>70472</v>
      </c>
      <c r="M65" s="338">
        <v>70472</v>
      </c>
      <c r="N65" s="338">
        <v>70472</v>
      </c>
      <c r="O65" s="338">
        <v>52844</v>
      </c>
      <c r="P65" s="338"/>
      <c r="Q65" s="338"/>
      <c r="R65" s="338"/>
      <c r="S65" s="338"/>
      <c r="T65" s="334"/>
      <c r="U65" s="334"/>
      <c r="V65" s="334"/>
      <c r="W65" s="335"/>
      <c r="X65" s="449">
        <f t="shared" si="2"/>
        <v>345232.15</v>
      </c>
    </row>
    <row r="66" spans="1:24" s="59" customFormat="1" ht="27" customHeight="1" x14ac:dyDescent="0.2">
      <c r="A66" s="556"/>
      <c r="B66" s="341" t="s">
        <v>504</v>
      </c>
      <c r="C66" s="558"/>
      <c r="D66" s="558"/>
      <c r="E66" s="562"/>
      <c r="F66" s="517"/>
      <c r="G66" s="284">
        <v>2.5000000000000001E-3</v>
      </c>
      <c r="H66" s="339">
        <f>1755-875</f>
        <v>880</v>
      </c>
      <c r="I66" s="339">
        <v>1750</v>
      </c>
      <c r="J66" s="339">
        <v>1735</v>
      </c>
      <c r="K66" s="339">
        <v>1630</v>
      </c>
      <c r="L66" s="339">
        <v>1285</v>
      </c>
      <c r="M66" s="339">
        <v>930</v>
      </c>
      <c r="N66" s="339">
        <v>575</v>
      </c>
      <c r="O66" s="339">
        <v>215</v>
      </c>
      <c r="P66" s="339"/>
      <c r="Q66" s="339"/>
      <c r="R66" s="339"/>
      <c r="S66" s="339"/>
      <c r="T66" s="336"/>
      <c r="U66" s="336"/>
      <c r="V66" s="336"/>
      <c r="W66" s="337"/>
      <c r="X66" s="450">
        <f t="shared" si="2"/>
        <v>9000</v>
      </c>
    </row>
    <row r="67" spans="1:24" s="59" customFormat="1" ht="20.25" customHeight="1" x14ac:dyDescent="0.2">
      <c r="A67" s="541">
        <v>31</v>
      </c>
      <c r="B67" s="300" t="s">
        <v>433</v>
      </c>
      <c r="C67" s="543" t="s">
        <v>505</v>
      </c>
      <c r="D67" s="543">
        <v>658</v>
      </c>
      <c r="E67" s="545">
        <f>149917-0.42</f>
        <v>149916.57999999999</v>
      </c>
      <c r="F67" s="524" t="s">
        <v>506</v>
      </c>
      <c r="G67" s="281" t="s">
        <v>432</v>
      </c>
      <c r="H67" s="301">
        <v>200</v>
      </c>
      <c r="I67" s="301">
        <v>1000</v>
      </c>
      <c r="J67" s="301">
        <v>1000</v>
      </c>
      <c r="K67" s="301">
        <v>2000</v>
      </c>
      <c r="L67" s="301">
        <v>2000</v>
      </c>
      <c r="M67" s="301">
        <v>11272</v>
      </c>
      <c r="N67" s="301">
        <v>11272</v>
      </c>
      <c r="O67" s="301">
        <v>11272</v>
      </c>
      <c r="P67" s="301">
        <v>11272</v>
      </c>
      <c r="Q67" s="301">
        <v>11272</v>
      </c>
      <c r="R67" s="301">
        <v>11272</v>
      </c>
      <c r="S67" s="301">
        <v>11272</v>
      </c>
      <c r="T67" s="301">
        <v>11272</v>
      </c>
      <c r="U67" s="301">
        <f>11272</f>
        <v>11272</v>
      </c>
      <c r="V67" s="301">
        <v>11272</v>
      </c>
      <c r="W67" s="302">
        <v>30996.58</v>
      </c>
      <c r="X67" s="447">
        <f t="shared" si="2"/>
        <v>149916.58000000002</v>
      </c>
    </row>
    <row r="68" spans="1:24" s="59" customFormat="1" ht="21" customHeight="1" x14ac:dyDescent="0.2">
      <c r="A68" s="542"/>
      <c r="B68" s="303" t="s">
        <v>504</v>
      </c>
      <c r="C68" s="544"/>
      <c r="D68" s="544"/>
      <c r="E68" s="546"/>
      <c r="F68" s="525"/>
      <c r="G68" s="282">
        <v>2.5000000000000001E-3</v>
      </c>
      <c r="H68" s="304">
        <v>380</v>
      </c>
      <c r="I68" s="304">
        <v>760</v>
      </c>
      <c r="J68" s="304">
        <v>755</v>
      </c>
      <c r="K68" s="304">
        <v>750</v>
      </c>
      <c r="L68" s="304">
        <v>740</v>
      </c>
      <c r="M68" s="304">
        <v>720</v>
      </c>
      <c r="N68" s="304">
        <v>665</v>
      </c>
      <c r="O68" s="304">
        <v>610</v>
      </c>
      <c r="P68" s="304">
        <v>550</v>
      </c>
      <c r="Q68" s="304">
        <v>495</v>
      </c>
      <c r="R68" s="304">
        <v>435</v>
      </c>
      <c r="S68" s="304">
        <v>380</v>
      </c>
      <c r="T68" s="304">
        <v>320</v>
      </c>
      <c r="U68" s="304">
        <v>265</v>
      </c>
      <c r="V68" s="304">
        <v>210</v>
      </c>
      <c r="W68" s="305">
        <v>275</v>
      </c>
      <c r="X68" s="448">
        <f t="shared" si="2"/>
        <v>8310</v>
      </c>
    </row>
    <row r="69" spans="1:24" s="59" customFormat="1" x14ac:dyDescent="0.2">
      <c r="A69" s="541">
        <v>32</v>
      </c>
      <c r="B69" s="300" t="s">
        <v>433</v>
      </c>
      <c r="C69" s="543" t="s">
        <v>511</v>
      </c>
      <c r="D69" s="543">
        <v>660</v>
      </c>
      <c r="E69" s="545">
        <f>2825528-170000-458838.25</f>
        <v>2196689.75</v>
      </c>
      <c r="F69" s="524" t="s">
        <v>673</v>
      </c>
      <c r="G69" s="281" t="s">
        <v>432</v>
      </c>
      <c r="H69" s="330">
        <v>0</v>
      </c>
      <c r="I69" s="330">
        <v>3000.5</v>
      </c>
      <c r="J69" s="330">
        <v>5000</v>
      </c>
      <c r="K69" s="330">
        <v>5000</v>
      </c>
      <c r="L69" s="330">
        <v>5000</v>
      </c>
      <c r="M69" s="330">
        <v>10000</v>
      </c>
      <c r="N69" s="330">
        <v>15000</v>
      </c>
      <c r="O69" s="330">
        <v>92432</v>
      </c>
      <c r="P69" s="330">
        <v>92432</v>
      </c>
      <c r="Q69" s="330">
        <v>92432</v>
      </c>
      <c r="R69" s="330">
        <v>92432</v>
      </c>
      <c r="S69" s="330">
        <v>92432</v>
      </c>
      <c r="T69" s="330">
        <v>92432</v>
      </c>
      <c r="U69" s="330">
        <v>92432</v>
      </c>
      <c r="V69" s="330">
        <v>92432</v>
      </c>
      <c r="W69" s="331">
        <v>1224752</v>
      </c>
      <c r="X69" s="447">
        <f t="shared" si="2"/>
        <v>2007208.5</v>
      </c>
    </row>
    <row r="70" spans="1:24" s="59" customFormat="1" x14ac:dyDescent="0.2">
      <c r="A70" s="542"/>
      <c r="B70" s="303" t="s">
        <v>674</v>
      </c>
      <c r="C70" s="544"/>
      <c r="D70" s="544"/>
      <c r="E70" s="546"/>
      <c r="F70" s="525"/>
      <c r="G70" s="288">
        <v>3.5899999999999999E-3</v>
      </c>
      <c r="H70" s="332">
        <v>8745</v>
      </c>
      <c r="I70" s="332">
        <v>10175</v>
      </c>
      <c r="J70" s="332">
        <v>10160</v>
      </c>
      <c r="K70" s="332">
        <v>10160</v>
      </c>
      <c r="L70" s="332">
        <v>10110</v>
      </c>
      <c r="M70" s="332">
        <v>10075</v>
      </c>
      <c r="N70" s="332">
        <v>10025</v>
      </c>
      <c r="O70" s="332">
        <v>9895</v>
      </c>
      <c r="P70" s="332">
        <v>9420</v>
      </c>
      <c r="Q70" s="332">
        <v>8950</v>
      </c>
      <c r="R70" s="332">
        <v>8480</v>
      </c>
      <c r="S70" s="332">
        <v>8035</v>
      </c>
      <c r="T70" s="332">
        <v>7545</v>
      </c>
      <c r="U70" s="332">
        <v>7075</v>
      </c>
      <c r="V70" s="332">
        <v>6610</v>
      </c>
      <c r="W70" s="333">
        <v>43345</v>
      </c>
      <c r="X70" s="448">
        <f t="shared" si="2"/>
        <v>178805</v>
      </c>
    </row>
    <row r="71" spans="1:24" s="59" customFormat="1" ht="23.25" customHeight="1" x14ac:dyDescent="0.2">
      <c r="A71" s="541">
        <v>33</v>
      </c>
      <c r="B71" s="300" t="s">
        <v>433</v>
      </c>
      <c r="C71" s="543" t="s">
        <v>602</v>
      </c>
      <c r="D71" s="543">
        <v>661</v>
      </c>
      <c r="E71" s="545">
        <v>1946578</v>
      </c>
      <c r="F71" s="524" t="s">
        <v>675</v>
      </c>
      <c r="G71" s="281" t="s">
        <v>432</v>
      </c>
      <c r="H71" s="301"/>
      <c r="I71" s="301">
        <v>3000.68</v>
      </c>
      <c r="J71" s="301">
        <v>5000</v>
      </c>
      <c r="K71" s="301">
        <v>5000</v>
      </c>
      <c r="L71" s="301">
        <v>5000</v>
      </c>
      <c r="M71" s="301">
        <v>10000</v>
      </c>
      <c r="N71" s="301">
        <v>15000</v>
      </c>
      <c r="O71" s="301">
        <v>81804</v>
      </c>
      <c r="P71" s="301">
        <v>81804</v>
      </c>
      <c r="Q71" s="301">
        <v>81804</v>
      </c>
      <c r="R71" s="301">
        <v>81804</v>
      </c>
      <c r="S71" s="301">
        <v>81804</v>
      </c>
      <c r="T71" s="301">
        <v>81804</v>
      </c>
      <c r="U71" s="301">
        <v>81804</v>
      </c>
      <c r="V71" s="301">
        <v>81804</v>
      </c>
      <c r="W71" s="302">
        <v>1078354.3899999999</v>
      </c>
      <c r="X71" s="447">
        <f t="shared" ref="X71:X102" si="3">SUM(H71:W71)</f>
        <v>1775787.0699999998</v>
      </c>
    </row>
    <row r="72" spans="1:24" s="59" customFormat="1" ht="23.25" customHeight="1" x14ac:dyDescent="0.2">
      <c r="A72" s="542"/>
      <c r="B72" s="303" t="s">
        <v>676</v>
      </c>
      <c r="C72" s="544"/>
      <c r="D72" s="544"/>
      <c r="E72" s="546"/>
      <c r="F72" s="525"/>
      <c r="G72" s="288">
        <v>6.3099999999999996E-3</v>
      </c>
      <c r="H72" s="304">
        <v>12890</v>
      </c>
      <c r="I72" s="304">
        <v>14405</v>
      </c>
      <c r="J72" s="304">
        <v>14375</v>
      </c>
      <c r="K72" s="304">
        <v>14375</v>
      </c>
      <c r="L72" s="304">
        <v>14295</v>
      </c>
      <c r="M72" s="304">
        <v>14245</v>
      </c>
      <c r="N72" s="304">
        <v>14160</v>
      </c>
      <c r="O72" s="304">
        <v>13965</v>
      </c>
      <c r="P72" s="304">
        <v>13290</v>
      </c>
      <c r="Q72" s="304">
        <v>12630</v>
      </c>
      <c r="R72" s="304">
        <v>11965</v>
      </c>
      <c r="S72" s="304">
        <v>11330</v>
      </c>
      <c r="T72" s="304">
        <v>10635</v>
      </c>
      <c r="U72" s="304">
        <v>9975</v>
      </c>
      <c r="V72" s="304">
        <v>9310</v>
      </c>
      <c r="W72" s="305">
        <v>60770</v>
      </c>
      <c r="X72" s="448">
        <f t="shared" si="3"/>
        <v>252615</v>
      </c>
    </row>
    <row r="73" spans="1:24" s="59" customFormat="1" ht="20.25" customHeight="1" x14ac:dyDescent="0.2">
      <c r="A73" s="555">
        <v>34</v>
      </c>
      <c r="B73" s="306" t="s">
        <v>433</v>
      </c>
      <c r="C73" s="557" t="s">
        <v>584</v>
      </c>
      <c r="D73" s="557">
        <v>662</v>
      </c>
      <c r="E73" s="559">
        <f>2100900-400000-20542</f>
        <v>1680358</v>
      </c>
      <c r="F73" s="516" t="s">
        <v>677</v>
      </c>
      <c r="G73" s="286" t="s">
        <v>432</v>
      </c>
      <c r="H73" s="338"/>
      <c r="I73" s="338">
        <v>3000.32</v>
      </c>
      <c r="J73" s="338">
        <v>6000</v>
      </c>
      <c r="K73" s="338">
        <v>10000</v>
      </c>
      <c r="L73" s="338">
        <v>20000</v>
      </c>
      <c r="M73" s="338">
        <v>43956</v>
      </c>
      <c r="N73" s="338">
        <v>43956</v>
      </c>
      <c r="O73" s="338">
        <v>43956</v>
      </c>
      <c r="P73" s="338">
        <v>43956</v>
      </c>
      <c r="Q73" s="338">
        <v>43956</v>
      </c>
      <c r="R73" s="338">
        <v>43956</v>
      </c>
      <c r="S73" s="338">
        <v>43956</v>
      </c>
      <c r="T73" s="338">
        <v>43956</v>
      </c>
      <c r="U73" s="338">
        <v>43956</v>
      </c>
      <c r="V73" s="338">
        <v>43956</v>
      </c>
      <c r="W73" s="340">
        <v>582400</v>
      </c>
      <c r="X73" s="449">
        <f t="shared" si="3"/>
        <v>1060960.32</v>
      </c>
    </row>
    <row r="74" spans="1:24" s="59" customFormat="1" ht="18.75" customHeight="1" x14ac:dyDescent="0.2">
      <c r="A74" s="556"/>
      <c r="B74" s="341" t="s">
        <v>678</v>
      </c>
      <c r="C74" s="558"/>
      <c r="D74" s="558"/>
      <c r="E74" s="560"/>
      <c r="F74" s="517"/>
      <c r="G74" s="284">
        <v>2.5000000000000001E-3</v>
      </c>
      <c r="H74" s="339">
        <v>4045</v>
      </c>
      <c r="I74" s="339">
        <v>5380</v>
      </c>
      <c r="J74" s="339">
        <v>5360</v>
      </c>
      <c r="K74" s="339">
        <v>5340</v>
      </c>
      <c r="L74" s="339">
        <v>5265</v>
      </c>
      <c r="M74" s="339">
        <v>5140</v>
      </c>
      <c r="N74" s="339">
        <v>4925</v>
      </c>
      <c r="O74" s="339">
        <v>4715</v>
      </c>
      <c r="P74" s="339">
        <v>4480</v>
      </c>
      <c r="Q74" s="339">
        <v>4260</v>
      </c>
      <c r="R74" s="339">
        <v>4035</v>
      </c>
      <c r="S74" s="339">
        <v>3820</v>
      </c>
      <c r="T74" s="339">
        <v>3590</v>
      </c>
      <c r="U74" s="339">
        <v>3365</v>
      </c>
      <c r="V74" s="339">
        <v>3145</v>
      </c>
      <c r="W74" s="342">
        <v>20610</v>
      </c>
      <c r="X74" s="450">
        <f t="shared" si="3"/>
        <v>87475</v>
      </c>
    </row>
    <row r="75" spans="1:24" s="59" customFormat="1" x14ac:dyDescent="0.2">
      <c r="A75" s="541">
        <v>35</v>
      </c>
      <c r="B75" s="300" t="s">
        <v>433</v>
      </c>
      <c r="C75" s="543" t="s">
        <v>679</v>
      </c>
      <c r="D75" s="543">
        <v>663</v>
      </c>
      <c r="E75" s="545">
        <f>10367403-84075.7</f>
        <v>10283327.300000001</v>
      </c>
      <c r="F75" s="524" t="s">
        <v>680</v>
      </c>
      <c r="G75" s="281" t="s">
        <v>432</v>
      </c>
      <c r="H75" s="301"/>
      <c r="I75" s="301">
        <v>3000.3</v>
      </c>
      <c r="J75" s="301">
        <v>6000</v>
      </c>
      <c r="K75" s="301">
        <v>10000</v>
      </c>
      <c r="L75" s="301">
        <v>20000</v>
      </c>
      <c r="M75" s="301">
        <v>28000</v>
      </c>
      <c r="N75" s="301">
        <v>40000</v>
      </c>
      <c r="O75" s="301">
        <v>80000</v>
      </c>
      <c r="P75" s="301">
        <v>200000</v>
      </c>
      <c r="Q75" s="301">
        <v>400000</v>
      </c>
      <c r="R75" s="301">
        <v>520348</v>
      </c>
      <c r="S75" s="301">
        <v>520348</v>
      </c>
      <c r="T75" s="301">
        <v>520348</v>
      </c>
      <c r="U75" s="301">
        <v>520348</v>
      </c>
      <c r="V75" s="301">
        <v>520348</v>
      </c>
      <c r="W75" s="302">
        <v>6894587</v>
      </c>
      <c r="X75" s="447">
        <f t="shared" si="3"/>
        <v>10283327.300000001</v>
      </c>
    </row>
    <row r="76" spans="1:24" s="59" customFormat="1" x14ac:dyDescent="0.2">
      <c r="A76" s="542"/>
      <c r="B76" s="303" t="s">
        <v>681</v>
      </c>
      <c r="C76" s="544"/>
      <c r="D76" s="544"/>
      <c r="E76" s="546"/>
      <c r="F76" s="525"/>
      <c r="G76" s="282">
        <v>2.5000000000000001E-3</v>
      </c>
      <c r="H76" s="304">
        <v>31860</v>
      </c>
      <c r="I76" s="304">
        <v>52130</v>
      </c>
      <c r="J76" s="304">
        <v>52115</v>
      </c>
      <c r="K76" s="304">
        <v>52220</v>
      </c>
      <c r="L76" s="304">
        <v>52020</v>
      </c>
      <c r="M76" s="304">
        <v>51910</v>
      </c>
      <c r="N76" s="304">
        <v>51760</v>
      </c>
      <c r="O76" s="304">
        <v>51660</v>
      </c>
      <c r="P76" s="304">
        <v>50995</v>
      </c>
      <c r="Q76" s="304">
        <v>49805</v>
      </c>
      <c r="R76" s="304">
        <v>47705</v>
      </c>
      <c r="S76" s="304">
        <v>45225</v>
      </c>
      <c r="T76" s="304">
        <v>42460</v>
      </c>
      <c r="U76" s="304">
        <v>39825</v>
      </c>
      <c r="V76" s="304">
        <v>37185</v>
      </c>
      <c r="W76" s="305">
        <v>244000</v>
      </c>
      <c r="X76" s="448">
        <f t="shared" si="3"/>
        <v>952875</v>
      </c>
    </row>
    <row r="77" spans="1:24" s="59" customFormat="1" ht="18" customHeight="1" x14ac:dyDescent="0.2">
      <c r="A77" s="555">
        <v>36</v>
      </c>
      <c r="B77" s="306" t="s">
        <v>433</v>
      </c>
      <c r="C77" s="557" t="s">
        <v>507</v>
      </c>
      <c r="D77" s="557">
        <v>665</v>
      </c>
      <c r="E77" s="559">
        <f>158248.54+2664102</f>
        <v>2822350.54</v>
      </c>
      <c r="F77" s="516" t="s">
        <v>680</v>
      </c>
      <c r="G77" s="286" t="s">
        <v>432</v>
      </c>
      <c r="H77" s="338"/>
      <c r="I77" s="338">
        <v>3000</v>
      </c>
      <c r="J77" s="338">
        <v>6000</v>
      </c>
      <c r="K77" s="338">
        <v>8000</v>
      </c>
      <c r="L77" s="338">
        <v>16000</v>
      </c>
      <c r="M77" s="338">
        <v>32000</v>
      </c>
      <c r="N77" s="338">
        <v>60000</v>
      </c>
      <c r="O77" s="338">
        <v>80000</v>
      </c>
      <c r="P77" s="338">
        <v>121436</v>
      </c>
      <c r="Q77" s="338">
        <v>121436</v>
      </c>
      <c r="R77" s="338">
        <v>121436</v>
      </c>
      <c r="S77" s="338">
        <v>121436</v>
      </c>
      <c r="T77" s="338">
        <v>121436</v>
      </c>
      <c r="U77" s="338">
        <v>121436</v>
      </c>
      <c r="V77" s="338">
        <v>121436</v>
      </c>
      <c r="W77" s="340">
        <v>1609050</v>
      </c>
      <c r="X77" s="449">
        <f t="shared" si="3"/>
        <v>2664102</v>
      </c>
    </row>
    <row r="78" spans="1:24" s="59" customFormat="1" ht="20.25" customHeight="1" x14ac:dyDescent="0.2">
      <c r="A78" s="556"/>
      <c r="B78" s="341" t="s">
        <v>682</v>
      </c>
      <c r="C78" s="558"/>
      <c r="D78" s="558"/>
      <c r="E78" s="560"/>
      <c r="F78" s="517"/>
      <c r="G78" s="284">
        <v>2.5000000000000001E-3</v>
      </c>
      <c r="H78" s="339">
        <v>8435</v>
      </c>
      <c r="I78" s="339">
        <v>13505</v>
      </c>
      <c r="J78" s="339">
        <v>13490</v>
      </c>
      <c r="K78" s="339">
        <v>13490</v>
      </c>
      <c r="L78" s="339">
        <v>13405</v>
      </c>
      <c r="M78" s="339">
        <v>13310</v>
      </c>
      <c r="N78" s="339">
        <v>13125</v>
      </c>
      <c r="O78" s="339">
        <v>12840</v>
      </c>
      <c r="P78" s="339">
        <v>12360</v>
      </c>
      <c r="Q78" s="339">
        <v>11760</v>
      </c>
      <c r="R78" s="339">
        <v>11145</v>
      </c>
      <c r="S78" s="339">
        <v>10555</v>
      </c>
      <c r="T78" s="339">
        <v>9910</v>
      </c>
      <c r="U78" s="339">
        <v>9295</v>
      </c>
      <c r="V78" s="339">
        <v>8680</v>
      </c>
      <c r="W78" s="342">
        <v>56945</v>
      </c>
      <c r="X78" s="450">
        <f t="shared" si="3"/>
        <v>232250</v>
      </c>
    </row>
    <row r="79" spans="1:24" s="59" customFormat="1" ht="20.25" customHeight="1" x14ac:dyDescent="0.2">
      <c r="A79" s="541">
        <v>37</v>
      </c>
      <c r="B79" s="300" t="s">
        <v>433</v>
      </c>
      <c r="C79" s="543" t="s">
        <v>683</v>
      </c>
      <c r="D79" s="543">
        <v>666</v>
      </c>
      <c r="E79" s="545">
        <f>663930-19547.23</f>
        <v>644382.77</v>
      </c>
      <c r="F79" s="524" t="s">
        <v>680</v>
      </c>
      <c r="G79" s="281" t="s">
        <v>432</v>
      </c>
      <c r="H79" s="301"/>
      <c r="I79" s="301">
        <v>3000.77</v>
      </c>
      <c r="J79" s="301">
        <v>6000</v>
      </c>
      <c r="K79" s="301">
        <v>10000</v>
      </c>
      <c r="L79" s="301">
        <v>20000</v>
      </c>
      <c r="M79" s="301">
        <v>26040</v>
      </c>
      <c r="N79" s="301">
        <v>26040</v>
      </c>
      <c r="O79" s="301">
        <v>26040</v>
      </c>
      <c r="P79" s="301">
        <v>26040</v>
      </c>
      <c r="Q79" s="301">
        <v>26040</v>
      </c>
      <c r="R79" s="301">
        <v>26040</v>
      </c>
      <c r="S79" s="301">
        <v>26040</v>
      </c>
      <c r="T79" s="301">
        <v>26040</v>
      </c>
      <c r="U79" s="301">
        <v>26040</v>
      </c>
      <c r="V79" s="301">
        <v>26040</v>
      </c>
      <c r="W79" s="302">
        <v>344982</v>
      </c>
      <c r="X79" s="447">
        <f t="shared" si="3"/>
        <v>644382.77</v>
      </c>
    </row>
    <row r="80" spans="1:24" s="59" customFormat="1" ht="24" customHeight="1" x14ac:dyDescent="0.2">
      <c r="A80" s="542"/>
      <c r="B80" s="303" t="s">
        <v>684</v>
      </c>
      <c r="C80" s="544"/>
      <c r="D80" s="544"/>
      <c r="E80" s="546"/>
      <c r="F80" s="525"/>
      <c r="G80" s="282">
        <v>2.5000000000000001E-3</v>
      </c>
      <c r="H80" s="304">
        <v>2050</v>
      </c>
      <c r="I80" s="304">
        <v>3270</v>
      </c>
      <c r="J80" s="304">
        <v>3250</v>
      </c>
      <c r="K80" s="304">
        <v>3225</v>
      </c>
      <c r="L80" s="304">
        <v>3155</v>
      </c>
      <c r="M80" s="304">
        <v>3050</v>
      </c>
      <c r="N80" s="304">
        <v>2920</v>
      </c>
      <c r="O80" s="304">
        <v>2795</v>
      </c>
      <c r="P80" s="304">
        <v>2655</v>
      </c>
      <c r="Q80" s="304">
        <v>2525</v>
      </c>
      <c r="R80" s="304">
        <v>2390</v>
      </c>
      <c r="S80" s="304">
        <v>2265</v>
      </c>
      <c r="T80" s="304">
        <v>2125</v>
      </c>
      <c r="U80" s="304">
        <v>1995</v>
      </c>
      <c r="V80" s="304">
        <v>1865</v>
      </c>
      <c r="W80" s="305">
        <v>12210</v>
      </c>
      <c r="X80" s="448">
        <f t="shared" si="3"/>
        <v>51745</v>
      </c>
    </row>
    <row r="81" spans="1:24" s="121" customFormat="1" ht="19.5" customHeight="1" x14ac:dyDescent="0.2">
      <c r="A81" s="555">
        <v>38</v>
      </c>
      <c r="B81" s="306" t="s">
        <v>433</v>
      </c>
      <c r="C81" s="557" t="s">
        <v>602</v>
      </c>
      <c r="D81" s="557">
        <v>667</v>
      </c>
      <c r="E81" s="559">
        <v>158028</v>
      </c>
      <c r="F81" s="516" t="s">
        <v>825</v>
      </c>
      <c r="G81" s="286" t="s">
        <v>432</v>
      </c>
      <c r="H81" s="338"/>
      <c r="I81" s="338">
        <v>4071</v>
      </c>
      <c r="J81" s="338">
        <v>5548</v>
      </c>
      <c r="K81" s="338">
        <v>5548</v>
      </c>
      <c r="L81" s="338">
        <v>5548</v>
      </c>
      <c r="M81" s="338">
        <v>5548</v>
      </c>
      <c r="N81" s="338">
        <v>5548</v>
      </c>
      <c r="O81" s="338">
        <v>5548</v>
      </c>
      <c r="P81" s="338">
        <v>5548</v>
      </c>
      <c r="Q81" s="338">
        <v>5548</v>
      </c>
      <c r="R81" s="338">
        <v>5548</v>
      </c>
      <c r="S81" s="338">
        <v>5548</v>
      </c>
      <c r="T81" s="338">
        <v>5548</v>
      </c>
      <c r="U81" s="338">
        <v>5548</v>
      </c>
      <c r="V81" s="338">
        <v>5548</v>
      </c>
      <c r="W81" s="340">
        <v>81833</v>
      </c>
      <c r="X81" s="449">
        <f t="shared" si="3"/>
        <v>158028</v>
      </c>
    </row>
    <row r="82" spans="1:24" s="121" customFormat="1" ht="18" customHeight="1" x14ac:dyDescent="0.2">
      <c r="A82" s="556"/>
      <c r="B82" s="341" t="s">
        <v>826</v>
      </c>
      <c r="C82" s="558"/>
      <c r="D82" s="558"/>
      <c r="E82" s="560"/>
      <c r="F82" s="517"/>
      <c r="G82" s="287">
        <f>0.892%-0.328%</f>
        <v>5.6400000000000009E-3</v>
      </c>
      <c r="H82" s="339">
        <f>1000</f>
        <v>1000</v>
      </c>
      <c r="I82" s="339">
        <v>1280</v>
      </c>
      <c r="J82" s="339">
        <v>1245</v>
      </c>
      <c r="K82" s="339">
        <v>1205</v>
      </c>
      <c r="L82" s="339">
        <v>1155</v>
      </c>
      <c r="M82" s="339">
        <v>1110</v>
      </c>
      <c r="N82" s="339">
        <v>1065</v>
      </c>
      <c r="O82" s="339">
        <v>1020</v>
      </c>
      <c r="P82" s="339">
        <v>975</v>
      </c>
      <c r="Q82" s="339">
        <v>930</v>
      </c>
      <c r="R82" s="339">
        <v>885</v>
      </c>
      <c r="S82" s="339">
        <v>840</v>
      </c>
      <c r="T82" s="339">
        <v>795</v>
      </c>
      <c r="U82" s="339">
        <v>750</v>
      </c>
      <c r="V82" s="339">
        <v>705</v>
      </c>
      <c r="W82" s="342">
        <v>5135</v>
      </c>
      <c r="X82" s="450">
        <f t="shared" si="3"/>
        <v>20095</v>
      </c>
    </row>
    <row r="83" spans="1:24" s="121" customFormat="1" x14ac:dyDescent="0.2">
      <c r="A83" s="541">
        <v>39</v>
      </c>
      <c r="B83" s="300" t="s">
        <v>433</v>
      </c>
      <c r="C83" s="543" t="s">
        <v>827</v>
      </c>
      <c r="D83" s="543">
        <v>668</v>
      </c>
      <c r="E83" s="545">
        <v>352110</v>
      </c>
      <c r="F83" s="524" t="s">
        <v>828</v>
      </c>
      <c r="G83" s="289" t="s">
        <v>432</v>
      </c>
      <c r="H83" s="301"/>
      <c r="I83" s="301"/>
      <c r="J83" s="301">
        <v>10142</v>
      </c>
      <c r="K83" s="301">
        <v>20416</v>
      </c>
      <c r="L83" s="301">
        <v>20416</v>
      </c>
      <c r="M83" s="301">
        <v>20416</v>
      </c>
      <c r="N83" s="301">
        <v>20416</v>
      </c>
      <c r="O83" s="301">
        <v>20416</v>
      </c>
      <c r="P83" s="301">
        <v>20416</v>
      </c>
      <c r="Q83" s="301">
        <v>20416</v>
      </c>
      <c r="R83" s="301">
        <v>20416</v>
      </c>
      <c r="S83" s="301">
        <v>20416</v>
      </c>
      <c r="T83" s="301">
        <v>20416</v>
      </c>
      <c r="U83" s="301">
        <v>20416</v>
      </c>
      <c r="V83" s="301">
        <v>20416</v>
      </c>
      <c r="W83" s="302">
        <v>96976</v>
      </c>
      <c r="X83" s="447">
        <f t="shared" si="3"/>
        <v>352110</v>
      </c>
    </row>
    <row r="84" spans="1:24" s="121" customFormat="1" x14ac:dyDescent="0.2">
      <c r="A84" s="542"/>
      <c r="B84" s="303" t="s">
        <v>829</v>
      </c>
      <c r="C84" s="544"/>
      <c r="D84" s="544"/>
      <c r="E84" s="546"/>
      <c r="F84" s="525"/>
      <c r="G84" s="288">
        <f>0.362%</f>
        <v>3.62E-3</v>
      </c>
      <c r="H84" s="304">
        <v>1410</v>
      </c>
      <c r="I84" s="304">
        <v>1790</v>
      </c>
      <c r="J84" s="304">
        <v>1785</v>
      </c>
      <c r="K84" s="304">
        <v>1725</v>
      </c>
      <c r="L84" s="304">
        <v>1620</v>
      </c>
      <c r="M84" s="304">
        <v>1515</v>
      </c>
      <c r="N84" s="304">
        <v>1410</v>
      </c>
      <c r="O84" s="304">
        <v>1310</v>
      </c>
      <c r="P84" s="304">
        <v>1205</v>
      </c>
      <c r="Q84" s="304">
        <v>1100</v>
      </c>
      <c r="R84" s="304">
        <v>995</v>
      </c>
      <c r="S84" s="304">
        <v>895</v>
      </c>
      <c r="T84" s="304">
        <v>790</v>
      </c>
      <c r="U84" s="304">
        <v>685</v>
      </c>
      <c r="V84" s="304">
        <v>580</v>
      </c>
      <c r="W84" s="305">
        <v>1345</v>
      </c>
      <c r="X84" s="448">
        <f t="shared" si="3"/>
        <v>20160</v>
      </c>
    </row>
    <row r="85" spans="1:24" s="121" customFormat="1" x14ac:dyDescent="0.2">
      <c r="A85" s="555">
        <v>40</v>
      </c>
      <c r="B85" s="306" t="s">
        <v>433</v>
      </c>
      <c r="C85" s="557" t="s">
        <v>830</v>
      </c>
      <c r="D85" s="557">
        <v>669</v>
      </c>
      <c r="E85" s="559">
        <v>403410</v>
      </c>
      <c r="F85" s="516" t="s">
        <v>828</v>
      </c>
      <c r="G85" s="286" t="s">
        <v>432</v>
      </c>
      <c r="H85" s="338"/>
      <c r="I85" s="338"/>
      <c r="J85" s="338">
        <v>11661</v>
      </c>
      <c r="K85" s="338">
        <v>23388</v>
      </c>
      <c r="L85" s="338">
        <v>23388</v>
      </c>
      <c r="M85" s="338">
        <v>23388</v>
      </c>
      <c r="N85" s="338">
        <v>23388</v>
      </c>
      <c r="O85" s="338">
        <v>23388</v>
      </c>
      <c r="P85" s="338">
        <v>23388</v>
      </c>
      <c r="Q85" s="338">
        <v>23388</v>
      </c>
      <c r="R85" s="338">
        <v>23388</v>
      </c>
      <c r="S85" s="338">
        <v>23388</v>
      </c>
      <c r="T85" s="338">
        <v>23388</v>
      </c>
      <c r="U85" s="338">
        <v>23388</v>
      </c>
      <c r="V85" s="338">
        <v>23388</v>
      </c>
      <c r="W85" s="340">
        <v>111093</v>
      </c>
      <c r="X85" s="449">
        <f t="shared" si="3"/>
        <v>403410</v>
      </c>
    </row>
    <row r="86" spans="1:24" s="121" customFormat="1" x14ac:dyDescent="0.2">
      <c r="A86" s="556"/>
      <c r="B86" s="341" t="s">
        <v>831</v>
      </c>
      <c r="C86" s="558"/>
      <c r="D86" s="558"/>
      <c r="E86" s="560"/>
      <c r="F86" s="517"/>
      <c r="G86" s="287">
        <f>0.362%</f>
        <v>3.62E-3</v>
      </c>
      <c r="H86" s="339">
        <v>1600</v>
      </c>
      <c r="I86" s="339">
        <v>2050</v>
      </c>
      <c r="J86" s="339">
        <v>2045</v>
      </c>
      <c r="K86" s="339">
        <v>1975</v>
      </c>
      <c r="L86" s="339">
        <v>1850</v>
      </c>
      <c r="M86" s="339">
        <v>1735</v>
      </c>
      <c r="N86" s="339">
        <v>1615</v>
      </c>
      <c r="O86" s="339">
        <v>1500</v>
      </c>
      <c r="P86" s="339">
        <v>1375</v>
      </c>
      <c r="Q86" s="339">
        <v>1260</v>
      </c>
      <c r="R86" s="339">
        <v>1140</v>
      </c>
      <c r="S86" s="339">
        <v>1025</v>
      </c>
      <c r="T86" s="339">
        <v>905</v>
      </c>
      <c r="U86" s="339">
        <v>785</v>
      </c>
      <c r="V86" s="339">
        <v>665</v>
      </c>
      <c r="W86" s="342">
        <v>1545</v>
      </c>
      <c r="X86" s="450">
        <f t="shared" si="3"/>
        <v>23070</v>
      </c>
    </row>
    <row r="87" spans="1:24" s="121" customFormat="1" ht="23.25" customHeight="1" x14ac:dyDescent="0.2">
      <c r="A87" s="541">
        <v>41</v>
      </c>
      <c r="B87" s="300" t="s">
        <v>433</v>
      </c>
      <c r="C87" s="543" t="s">
        <v>832</v>
      </c>
      <c r="D87" s="543">
        <v>670</v>
      </c>
      <c r="E87" s="545">
        <v>848543</v>
      </c>
      <c r="F87" s="524" t="s">
        <v>833</v>
      </c>
      <c r="G87" s="281" t="s">
        <v>432</v>
      </c>
      <c r="H87" s="301"/>
      <c r="I87" s="301"/>
      <c r="J87" s="301">
        <v>500</v>
      </c>
      <c r="K87" s="301">
        <v>2000</v>
      </c>
      <c r="L87" s="301">
        <v>4000</v>
      </c>
      <c r="M87" s="301">
        <v>8000</v>
      </c>
      <c r="N87" s="301">
        <v>20000</v>
      </c>
      <c r="O87" s="301">
        <v>36180</v>
      </c>
      <c r="P87" s="301">
        <v>36180</v>
      </c>
      <c r="Q87" s="301">
        <v>36180</v>
      </c>
      <c r="R87" s="301">
        <v>36180</v>
      </c>
      <c r="S87" s="301">
        <v>36180</v>
      </c>
      <c r="T87" s="301">
        <v>36180</v>
      </c>
      <c r="U87" s="301">
        <v>36180</v>
      </c>
      <c r="V87" s="301">
        <v>36180</v>
      </c>
      <c r="W87" s="302">
        <v>524603</v>
      </c>
      <c r="X87" s="447">
        <f t="shared" si="3"/>
        <v>848543</v>
      </c>
    </row>
    <row r="88" spans="1:24" s="121" customFormat="1" ht="20.25" customHeight="1" x14ac:dyDescent="0.2">
      <c r="A88" s="542"/>
      <c r="B88" s="303" t="s">
        <v>834</v>
      </c>
      <c r="C88" s="544"/>
      <c r="D88" s="544"/>
      <c r="E88" s="546"/>
      <c r="F88" s="525"/>
      <c r="G88" s="288">
        <f>0.933%-0.366%</f>
        <v>5.6699999999999997E-3</v>
      </c>
      <c r="H88" s="304">
        <v>4740</v>
      </c>
      <c r="I88" s="304">
        <v>6885</v>
      </c>
      <c r="J88" s="304">
        <v>6885</v>
      </c>
      <c r="K88" s="304">
        <v>6895</v>
      </c>
      <c r="L88" s="304">
        <v>6860</v>
      </c>
      <c r="M88" s="304">
        <v>6820</v>
      </c>
      <c r="N88" s="304">
        <v>6735</v>
      </c>
      <c r="O88" s="304">
        <v>6570</v>
      </c>
      <c r="P88" s="304">
        <v>6265</v>
      </c>
      <c r="Q88" s="304">
        <v>5975</v>
      </c>
      <c r="R88" s="304">
        <v>5680</v>
      </c>
      <c r="S88" s="304">
        <v>5400</v>
      </c>
      <c r="T88" s="304">
        <v>5095</v>
      </c>
      <c r="U88" s="304">
        <v>4800</v>
      </c>
      <c r="V88" s="304">
        <v>4505</v>
      </c>
      <c r="W88" s="305">
        <v>32365</v>
      </c>
      <c r="X88" s="448">
        <f t="shared" si="3"/>
        <v>122475</v>
      </c>
    </row>
    <row r="89" spans="1:24" s="121" customFormat="1" x14ac:dyDescent="0.2">
      <c r="A89" s="555">
        <v>42</v>
      </c>
      <c r="B89" s="306" t="s">
        <v>433</v>
      </c>
      <c r="C89" s="557" t="s">
        <v>835</v>
      </c>
      <c r="D89" s="557">
        <v>671</v>
      </c>
      <c r="E89" s="559">
        <v>1698600</v>
      </c>
      <c r="F89" s="516" t="s">
        <v>836</v>
      </c>
      <c r="G89" s="286" t="s">
        <v>432</v>
      </c>
      <c r="H89" s="338"/>
      <c r="I89" s="338"/>
      <c r="J89" s="338">
        <v>2000</v>
      </c>
      <c r="K89" s="338">
        <v>6000</v>
      </c>
      <c r="L89" s="338">
        <v>10000</v>
      </c>
      <c r="M89" s="338">
        <v>20000</v>
      </c>
      <c r="N89" s="338">
        <v>40000</v>
      </c>
      <c r="O89" s="338">
        <v>60000</v>
      </c>
      <c r="P89" s="338">
        <v>72588</v>
      </c>
      <c r="Q89" s="338">
        <v>72588</v>
      </c>
      <c r="R89" s="338">
        <v>72588</v>
      </c>
      <c r="S89" s="338">
        <v>72588</v>
      </c>
      <c r="T89" s="338">
        <v>72588</v>
      </c>
      <c r="U89" s="338">
        <v>72588</v>
      </c>
      <c r="V89" s="338">
        <v>72588</v>
      </c>
      <c r="W89" s="340">
        <v>1052484</v>
      </c>
      <c r="X89" s="449">
        <f>SUM(H89:W89)</f>
        <v>1698600</v>
      </c>
    </row>
    <row r="90" spans="1:24" s="121" customFormat="1" x14ac:dyDescent="0.2">
      <c r="A90" s="556"/>
      <c r="B90" s="341" t="s">
        <v>837</v>
      </c>
      <c r="C90" s="558"/>
      <c r="D90" s="558"/>
      <c r="E90" s="560"/>
      <c r="F90" s="517"/>
      <c r="G90" s="287">
        <f>0.915%-0.442%</f>
        <v>4.7299999999999998E-3</v>
      </c>
      <c r="H90" s="339">
        <v>6650</v>
      </c>
      <c r="I90" s="339">
        <v>8615</v>
      </c>
      <c r="J90" s="339">
        <v>8615</v>
      </c>
      <c r="K90" s="339">
        <v>8620</v>
      </c>
      <c r="L90" s="339">
        <v>8565</v>
      </c>
      <c r="M90" s="339">
        <v>8505</v>
      </c>
      <c r="N90" s="339">
        <v>8385</v>
      </c>
      <c r="O90" s="339">
        <v>8190</v>
      </c>
      <c r="P90" s="339">
        <v>7855</v>
      </c>
      <c r="Q90" s="339">
        <v>7490</v>
      </c>
      <c r="R90" s="339">
        <v>7120</v>
      </c>
      <c r="S90" s="339">
        <v>6770</v>
      </c>
      <c r="T90" s="339">
        <v>6385</v>
      </c>
      <c r="U90" s="339">
        <v>6015</v>
      </c>
      <c r="V90" s="339">
        <v>5650</v>
      </c>
      <c r="W90" s="342">
        <v>40580</v>
      </c>
      <c r="X90" s="450">
        <f t="shared" si="3"/>
        <v>154010</v>
      </c>
    </row>
    <row r="91" spans="1:24" s="121" customFormat="1" x14ac:dyDescent="0.2">
      <c r="A91" s="541">
        <v>43</v>
      </c>
      <c r="B91" s="300" t="s">
        <v>433</v>
      </c>
      <c r="C91" s="543" t="s">
        <v>838</v>
      </c>
      <c r="D91" s="543">
        <v>672</v>
      </c>
      <c r="E91" s="545">
        <f>142175-5157.95</f>
        <v>137017.04999999999</v>
      </c>
      <c r="F91" s="524" t="s">
        <v>839</v>
      </c>
      <c r="G91" s="281" t="s">
        <v>432</v>
      </c>
      <c r="H91" s="301"/>
      <c r="I91" s="301"/>
      <c r="J91" s="301">
        <v>3955.05</v>
      </c>
      <c r="K91" s="301">
        <v>7944</v>
      </c>
      <c r="L91" s="301">
        <v>7944</v>
      </c>
      <c r="M91" s="301">
        <v>7944</v>
      </c>
      <c r="N91" s="301">
        <v>7944</v>
      </c>
      <c r="O91" s="301">
        <v>7944</v>
      </c>
      <c r="P91" s="301">
        <v>7944</v>
      </c>
      <c r="Q91" s="301">
        <v>7944</v>
      </c>
      <c r="R91" s="301">
        <v>7944</v>
      </c>
      <c r="S91" s="301">
        <v>7944</v>
      </c>
      <c r="T91" s="301">
        <v>7944</v>
      </c>
      <c r="U91" s="301">
        <v>7944</v>
      </c>
      <c r="V91" s="301">
        <v>7944</v>
      </c>
      <c r="W91" s="302">
        <v>37734</v>
      </c>
      <c r="X91" s="447">
        <f t="shared" si="3"/>
        <v>137017.04999999999</v>
      </c>
    </row>
    <row r="92" spans="1:24" s="121" customFormat="1" x14ac:dyDescent="0.2">
      <c r="A92" s="542"/>
      <c r="B92" s="303" t="s">
        <v>840</v>
      </c>
      <c r="C92" s="544"/>
      <c r="D92" s="544"/>
      <c r="E92" s="546"/>
      <c r="F92" s="525"/>
      <c r="G92" s="282">
        <f>0.687%-0.442%</f>
        <v>2.4499999999999999E-3</v>
      </c>
      <c r="H92" s="304">
        <v>285</v>
      </c>
      <c r="I92" s="304">
        <v>695</v>
      </c>
      <c r="J92" s="304">
        <v>695</v>
      </c>
      <c r="K92" s="304">
        <v>675</v>
      </c>
      <c r="L92" s="304">
        <v>630</v>
      </c>
      <c r="M92" s="304">
        <v>590</v>
      </c>
      <c r="N92" s="304">
        <v>550</v>
      </c>
      <c r="O92" s="304">
        <v>510</v>
      </c>
      <c r="P92" s="304">
        <v>470</v>
      </c>
      <c r="Q92" s="304">
        <v>430</v>
      </c>
      <c r="R92" s="304">
        <v>390</v>
      </c>
      <c r="S92" s="304">
        <v>350</v>
      </c>
      <c r="T92" s="304">
        <v>310</v>
      </c>
      <c r="U92" s="304">
        <v>270</v>
      </c>
      <c r="V92" s="304">
        <v>230</v>
      </c>
      <c r="W92" s="305">
        <v>525</v>
      </c>
      <c r="X92" s="448">
        <f t="shared" si="3"/>
        <v>7605</v>
      </c>
    </row>
    <row r="93" spans="1:24" s="121" customFormat="1" x14ac:dyDescent="0.2">
      <c r="A93" s="541">
        <v>44</v>
      </c>
      <c r="B93" s="300" t="s">
        <v>433</v>
      </c>
      <c r="C93" s="543" t="s">
        <v>841</v>
      </c>
      <c r="D93" s="543">
        <v>673</v>
      </c>
      <c r="E93" s="545">
        <f>625075-48519.44</f>
        <v>576555.56000000006</v>
      </c>
      <c r="F93" s="524" t="s">
        <v>842</v>
      </c>
      <c r="G93" s="281" t="s">
        <v>432</v>
      </c>
      <c r="H93" s="301"/>
      <c r="I93" s="301"/>
      <c r="J93" s="301">
        <v>2000.56</v>
      </c>
      <c r="K93" s="301">
        <v>6000</v>
      </c>
      <c r="L93" s="301">
        <v>10000</v>
      </c>
      <c r="M93" s="301">
        <v>20000</v>
      </c>
      <c r="N93" s="301">
        <v>39892</v>
      </c>
      <c r="O93" s="301">
        <v>39892</v>
      </c>
      <c r="P93" s="301">
        <v>39892</v>
      </c>
      <c r="Q93" s="301">
        <v>39892</v>
      </c>
      <c r="R93" s="301">
        <v>39892</v>
      </c>
      <c r="S93" s="301">
        <v>39892</v>
      </c>
      <c r="T93" s="301">
        <v>39892</v>
      </c>
      <c r="U93" s="301">
        <v>39892</v>
      </c>
      <c r="V93" s="301">
        <v>39892</v>
      </c>
      <c r="W93" s="302">
        <v>179527</v>
      </c>
      <c r="X93" s="447">
        <f t="shared" si="3"/>
        <v>576555.56000000006</v>
      </c>
    </row>
    <row r="94" spans="1:24" s="121" customFormat="1" x14ac:dyDescent="0.2">
      <c r="A94" s="542"/>
      <c r="B94" s="303" t="s">
        <v>843</v>
      </c>
      <c r="C94" s="544"/>
      <c r="D94" s="544"/>
      <c r="E94" s="546"/>
      <c r="F94" s="525"/>
      <c r="G94" s="282">
        <f>0.687%-0.442%</f>
        <v>2.4499999999999999E-3</v>
      </c>
      <c r="H94" s="304">
        <v>1205</v>
      </c>
      <c r="I94" s="304">
        <v>2925</v>
      </c>
      <c r="J94" s="304">
        <v>2925</v>
      </c>
      <c r="K94" s="304">
        <v>2920</v>
      </c>
      <c r="L94" s="304">
        <v>2875</v>
      </c>
      <c r="M94" s="304">
        <v>2815</v>
      </c>
      <c r="N94" s="304">
        <v>2695</v>
      </c>
      <c r="O94" s="304">
        <v>2505</v>
      </c>
      <c r="P94" s="304">
        <v>2295</v>
      </c>
      <c r="Q94" s="304">
        <v>2095</v>
      </c>
      <c r="R94" s="304">
        <v>1895</v>
      </c>
      <c r="S94" s="304">
        <v>1695</v>
      </c>
      <c r="T94" s="304">
        <v>1490</v>
      </c>
      <c r="U94" s="304">
        <v>1285</v>
      </c>
      <c r="V94" s="304">
        <v>1085</v>
      </c>
      <c r="W94" s="305">
        <v>2380</v>
      </c>
      <c r="X94" s="448">
        <f t="shared" si="3"/>
        <v>35085</v>
      </c>
    </row>
    <row r="95" spans="1:24" s="121" customFormat="1" ht="22.5" customHeight="1" x14ac:dyDescent="0.2">
      <c r="A95" s="541">
        <v>45</v>
      </c>
      <c r="B95" s="300" t="s">
        <v>433</v>
      </c>
      <c r="C95" s="543" t="s">
        <v>507</v>
      </c>
      <c r="D95" s="543">
        <v>674</v>
      </c>
      <c r="E95" s="545">
        <v>231777</v>
      </c>
      <c r="F95" s="524" t="s">
        <v>844</v>
      </c>
      <c r="G95" s="281" t="s">
        <v>432</v>
      </c>
      <c r="H95" s="301"/>
      <c r="I95" s="301">
        <v>5985</v>
      </c>
      <c r="J95" s="301">
        <v>8064</v>
      </c>
      <c r="K95" s="301">
        <v>8064</v>
      </c>
      <c r="L95" s="301">
        <v>8064</v>
      </c>
      <c r="M95" s="301">
        <v>8064</v>
      </c>
      <c r="N95" s="301">
        <v>8064</v>
      </c>
      <c r="O95" s="301">
        <v>8064</v>
      </c>
      <c r="P95" s="301">
        <v>8064</v>
      </c>
      <c r="Q95" s="301">
        <v>8064</v>
      </c>
      <c r="R95" s="301">
        <v>8064</v>
      </c>
      <c r="S95" s="301">
        <v>8064</v>
      </c>
      <c r="T95" s="301">
        <v>8064</v>
      </c>
      <c r="U95" s="301">
        <v>8064</v>
      </c>
      <c r="V95" s="301">
        <v>8064</v>
      </c>
      <c r="W95" s="302">
        <v>120960</v>
      </c>
      <c r="X95" s="447">
        <f t="shared" si="3"/>
        <v>231777</v>
      </c>
    </row>
    <row r="96" spans="1:24" s="121" customFormat="1" ht="18.75" customHeight="1" x14ac:dyDescent="0.2">
      <c r="A96" s="542"/>
      <c r="B96" s="303" t="s">
        <v>845</v>
      </c>
      <c r="C96" s="544"/>
      <c r="D96" s="544"/>
      <c r="E96" s="546"/>
      <c r="F96" s="525"/>
      <c r="G96" s="288">
        <v>3.5699999999999998E-3</v>
      </c>
      <c r="H96" s="304">
        <v>685</v>
      </c>
      <c r="I96" s="304">
        <v>1175</v>
      </c>
      <c r="J96" s="304">
        <v>1140</v>
      </c>
      <c r="K96" s="304">
        <v>1105</v>
      </c>
      <c r="L96" s="304">
        <v>1060</v>
      </c>
      <c r="M96" s="304">
        <v>1020</v>
      </c>
      <c r="N96" s="304">
        <v>975</v>
      </c>
      <c r="O96" s="304">
        <v>940</v>
      </c>
      <c r="P96" s="304">
        <v>895</v>
      </c>
      <c r="Q96" s="304">
        <v>855</v>
      </c>
      <c r="R96" s="304">
        <v>815</v>
      </c>
      <c r="S96" s="304">
        <v>775</v>
      </c>
      <c r="T96" s="304">
        <v>730</v>
      </c>
      <c r="U96" s="304">
        <v>690</v>
      </c>
      <c r="V96" s="304">
        <v>650</v>
      </c>
      <c r="W96" s="305">
        <v>4820</v>
      </c>
      <c r="X96" s="448">
        <f t="shared" si="3"/>
        <v>18330</v>
      </c>
    </row>
    <row r="97" spans="1:24" s="121" customFormat="1" x14ac:dyDescent="0.2">
      <c r="A97" s="555">
        <v>46</v>
      </c>
      <c r="B97" s="306" t="s">
        <v>433</v>
      </c>
      <c r="C97" s="557" t="s">
        <v>846</v>
      </c>
      <c r="D97" s="557">
        <v>675</v>
      </c>
      <c r="E97" s="559">
        <f>223252-340</f>
        <v>222912</v>
      </c>
      <c r="F97" s="516" t="s">
        <v>847</v>
      </c>
      <c r="G97" s="286" t="s">
        <v>432</v>
      </c>
      <c r="H97" s="338"/>
      <c r="I97" s="338"/>
      <c r="J97" s="338">
        <v>3204</v>
      </c>
      <c r="K97" s="338">
        <v>12924</v>
      </c>
      <c r="L97" s="338">
        <v>12924</v>
      </c>
      <c r="M97" s="338">
        <v>12924</v>
      </c>
      <c r="N97" s="338">
        <v>12924</v>
      </c>
      <c r="O97" s="338">
        <v>12924</v>
      </c>
      <c r="P97" s="338">
        <v>12924</v>
      </c>
      <c r="Q97" s="338">
        <v>12924</v>
      </c>
      <c r="R97" s="338">
        <v>12924</v>
      </c>
      <c r="S97" s="338">
        <v>12924</v>
      </c>
      <c r="T97" s="338">
        <v>12924</v>
      </c>
      <c r="U97" s="338">
        <v>12924</v>
      </c>
      <c r="V97" s="338">
        <v>12924</v>
      </c>
      <c r="W97" s="340">
        <v>64620</v>
      </c>
      <c r="X97" s="449">
        <f t="shared" si="3"/>
        <v>222912</v>
      </c>
    </row>
    <row r="98" spans="1:24" s="121" customFormat="1" x14ac:dyDescent="0.2">
      <c r="A98" s="556"/>
      <c r="B98" s="341" t="s">
        <v>848</v>
      </c>
      <c r="C98" s="558"/>
      <c r="D98" s="558"/>
      <c r="E98" s="560"/>
      <c r="F98" s="517"/>
      <c r="G98" s="284">
        <v>2.5000000000000001E-3</v>
      </c>
      <c r="H98" s="339">
        <v>440</v>
      </c>
      <c r="I98" s="339">
        <v>1135</v>
      </c>
      <c r="J98" s="339">
        <v>1135</v>
      </c>
      <c r="K98" s="339">
        <v>1110</v>
      </c>
      <c r="L98" s="339">
        <v>1040</v>
      </c>
      <c r="M98" s="339">
        <v>975</v>
      </c>
      <c r="N98" s="339">
        <v>910</v>
      </c>
      <c r="O98" s="339">
        <v>845</v>
      </c>
      <c r="P98" s="339">
        <v>780</v>
      </c>
      <c r="Q98" s="339">
        <v>715</v>
      </c>
      <c r="R98" s="339">
        <v>650</v>
      </c>
      <c r="S98" s="339">
        <v>585</v>
      </c>
      <c r="T98" s="339">
        <v>515</v>
      </c>
      <c r="U98" s="339">
        <v>450</v>
      </c>
      <c r="V98" s="339">
        <v>385</v>
      </c>
      <c r="W98" s="342">
        <v>940</v>
      </c>
      <c r="X98" s="448">
        <f>SUM(H98:W98)</f>
        <v>12610</v>
      </c>
    </row>
    <row r="99" spans="1:24" s="121" customFormat="1" hidden="1" x14ac:dyDescent="0.2">
      <c r="A99" s="541"/>
      <c r="B99" s="300"/>
      <c r="C99" s="543"/>
      <c r="D99" s="543"/>
      <c r="E99" s="545"/>
      <c r="F99" s="547"/>
      <c r="G99" s="290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451">
        <f t="shared" si="3"/>
        <v>0</v>
      </c>
    </row>
    <row r="100" spans="1:24" s="121" customFormat="1" hidden="1" x14ac:dyDescent="0.2">
      <c r="A100" s="542"/>
      <c r="B100" s="303"/>
      <c r="C100" s="544"/>
      <c r="D100" s="544"/>
      <c r="E100" s="546"/>
      <c r="F100" s="548"/>
      <c r="G100" s="291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452">
        <f t="shared" si="3"/>
        <v>0</v>
      </c>
    </row>
    <row r="101" spans="1:24" s="121" customFormat="1" hidden="1" x14ac:dyDescent="0.2">
      <c r="A101" s="514"/>
      <c r="B101" s="344"/>
      <c r="C101" s="535"/>
      <c r="D101" s="535"/>
      <c r="E101" s="537"/>
      <c r="F101" s="539"/>
      <c r="G101" s="286"/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  <c r="R101" s="345"/>
      <c r="S101" s="345"/>
      <c r="T101" s="345"/>
      <c r="U101" s="345"/>
      <c r="V101" s="345"/>
      <c r="W101" s="345"/>
      <c r="X101" s="453">
        <f t="shared" si="3"/>
        <v>0</v>
      </c>
    </row>
    <row r="102" spans="1:24" s="121" customFormat="1" hidden="1" x14ac:dyDescent="0.2">
      <c r="A102" s="515"/>
      <c r="B102" s="346"/>
      <c r="C102" s="536"/>
      <c r="D102" s="536"/>
      <c r="E102" s="538"/>
      <c r="F102" s="540"/>
      <c r="G102" s="284"/>
      <c r="H102" s="347"/>
      <c r="I102" s="347"/>
      <c r="J102" s="347"/>
      <c r="K102" s="347"/>
      <c r="L102" s="347"/>
      <c r="M102" s="347"/>
      <c r="N102" s="347"/>
      <c r="O102" s="347"/>
      <c r="P102" s="347"/>
      <c r="Q102" s="347"/>
      <c r="R102" s="347"/>
      <c r="S102" s="347"/>
      <c r="T102" s="347"/>
      <c r="U102" s="347"/>
      <c r="V102" s="347"/>
      <c r="W102" s="347"/>
      <c r="X102" s="454">
        <f t="shared" si="3"/>
        <v>0</v>
      </c>
    </row>
    <row r="103" spans="1:24" s="121" customFormat="1" hidden="1" x14ac:dyDescent="0.2">
      <c r="A103" s="522"/>
      <c r="B103" s="348"/>
      <c r="C103" s="549"/>
      <c r="D103" s="549"/>
      <c r="E103" s="551"/>
      <c r="F103" s="553"/>
      <c r="G103" s="281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R103" s="349"/>
      <c r="S103" s="349"/>
      <c r="T103" s="349"/>
      <c r="U103" s="349"/>
      <c r="V103" s="349"/>
      <c r="W103" s="349"/>
      <c r="X103" s="451">
        <f t="shared" ref="X103:X114" si="4">SUM(H103:W103)</f>
        <v>0</v>
      </c>
    </row>
    <row r="104" spans="1:24" s="121" customFormat="1" hidden="1" x14ac:dyDescent="0.2">
      <c r="A104" s="523"/>
      <c r="B104" s="350"/>
      <c r="C104" s="550"/>
      <c r="D104" s="550"/>
      <c r="E104" s="552"/>
      <c r="F104" s="554"/>
      <c r="G104" s="282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452">
        <f t="shared" si="4"/>
        <v>0</v>
      </c>
    </row>
    <row r="105" spans="1:24" s="121" customFormat="1" hidden="1" x14ac:dyDescent="0.2">
      <c r="A105" s="514"/>
      <c r="B105" s="344"/>
      <c r="C105" s="535"/>
      <c r="D105" s="535"/>
      <c r="E105" s="537"/>
      <c r="F105" s="539"/>
      <c r="G105" s="286"/>
      <c r="H105" s="345"/>
      <c r="I105" s="345"/>
      <c r="J105" s="345"/>
      <c r="K105" s="345"/>
      <c r="L105" s="345"/>
      <c r="M105" s="345"/>
      <c r="N105" s="345"/>
      <c r="O105" s="345"/>
      <c r="P105" s="345"/>
      <c r="Q105" s="345"/>
      <c r="R105" s="345"/>
      <c r="S105" s="345"/>
      <c r="T105" s="345"/>
      <c r="U105" s="345"/>
      <c r="V105" s="345"/>
      <c r="W105" s="345"/>
      <c r="X105" s="453">
        <f t="shared" si="4"/>
        <v>0</v>
      </c>
    </row>
    <row r="106" spans="1:24" s="121" customFormat="1" hidden="1" x14ac:dyDescent="0.2">
      <c r="A106" s="515"/>
      <c r="B106" s="346"/>
      <c r="C106" s="536"/>
      <c r="D106" s="536"/>
      <c r="E106" s="538"/>
      <c r="F106" s="540"/>
      <c r="G106" s="284"/>
      <c r="H106" s="347"/>
      <c r="I106" s="347"/>
      <c r="J106" s="347"/>
      <c r="K106" s="347"/>
      <c r="L106" s="347"/>
      <c r="M106" s="347"/>
      <c r="N106" s="347"/>
      <c r="O106" s="347"/>
      <c r="P106" s="347"/>
      <c r="Q106" s="347"/>
      <c r="R106" s="347"/>
      <c r="S106" s="347"/>
      <c r="T106" s="347"/>
      <c r="U106" s="347"/>
      <c r="V106" s="347"/>
      <c r="W106" s="347"/>
      <c r="X106" s="454">
        <f t="shared" si="4"/>
        <v>0</v>
      </c>
    </row>
    <row r="107" spans="1:24" s="121" customFormat="1" hidden="1" x14ac:dyDescent="0.2">
      <c r="A107" s="541"/>
      <c r="B107" s="300"/>
      <c r="C107" s="543"/>
      <c r="D107" s="543"/>
      <c r="E107" s="545"/>
      <c r="F107" s="547"/>
      <c r="G107" s="290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451">
        <f t="shared" si="4"/>
        <v>0</v>
      </c>
    </row>
    <row r="108" spans="1:24" s="121" customFormat="1" hidden="1" x14ac:dyDescent="0.2">
      <c r="A108" s="542"/>
      <c r="B108" s="303"/>
      <c r="C108" s="544"/>
      <c r="D108" s="544"/>
      <c r="E108" s="546"/>
      <c r="F108" s="548"/>
      <c r="G108" s="291"/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  <c r="T108" s="304"/>
      <c r="U108" s="304"/>
      <c r="V108" s="304"/>
      <c r="W108" s="304"/>
      <c r="X108" s="452">
        <f t="shared" si="4"/>
        <v>0</v>
      </c>
    </row>
    <row r="109" spans="1:24" s="121" customFormat="1" hidden="1" x14ac:dyDescent="0.2">
      <c r="A109" s="514"/>
      <c r="B109" s="344"/>
      <c r="C109" s="535"/>
      <c r="D109" s="535"/>
      <c r="E109" s="537"/>
      <c r="F109" s="539"/>
      <c r="G109" s="286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U109" s="345"/>
      <c r="V109" s="345"/>
      <c r="W109" s="345"/>
      <c r="X109" s="453">
        <f t="shared" si="4"/>
        <v>0</v>
      </c>
    </row>
    <row r="110" spans="1:24" s="121" customFormat="1" hidden="1" x14ac:dyDescent="0.2">
      <c r="A110" s="515"/>
      <c r="B110" s="346"/>
      <c r="C110" s="536"/>
      <c r="D110" s="536"/>
      <c r="E110" s="538"/>
      <c r="F110" s="540"/>
      <c r="G110" s="284"/>
      <c r="H110" s="347"/>
      <c r="I110" s="347"/>
      <c r="J110" s="347"/>
      <c r="K110" s="347"/>
      <c r="L110" s="347"/>
      <c r="M110" s="347"/>
      <c r="N110" s="347"/>
      <c r="O110" s="347"/>
      <c r="P110" s="347"/>
      <c r="Q110" s="347"/>
      <c r="R110" s="347"/>
      <c r="S110" s="347"/>
      <c r="T110" s="347"/>
      <c r="U110" s="347"/>
      <c r="V110" s="347"/>
      <c r="W110" s="347"/>
      <c r="X110" s="454">
        <f t="shared" si="4"/>
        <v>0</v>
      </c>
    </row>
    <row r="111" spans="1:24" s="121" customFormat="1" hidden="1" x14ac:dyDescent="0.2">
      <c r="A111" s="541"/>
      <c r="B111" s="300"/>
      <c r="C111" s="543"/>
      <c r="D111" s="543"/>
      <c r="E111" s="545"/>
      <c r="F111" s="547"/>
      <c r="G111" s="290"/>
      <c r="H111" s="301"/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1"/>
      <c r="V111" s="301"/>
      <c r="W111" s="301"/>
      <c r="X111" s="451">
        <f>SUM(H111:W111)</f>
        <v>0</v>
      </c>
    </row>
    <row r="112" spans="1:24" s="121" customFormat="1" hidden="1" x14ac:dyDescent="0.2">
      <c r="A112" s="542"/>
      <c r="B112" s="303"/>
      <c r="C112" s="544"/>
      <c r="D112" s="544"/>
      <c r="E112" s="546"/>
      <c r="F112" s="548"/>
      <c r="G112" s="291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452">
        <f t="shared" si="4"/>
        <v>0</v>
      </c>
    </row>
    <row r="113" spans="1:24" s="121" customFormat="1" hidden="1" x14ac:dyDescent="0.2">
      <c r="A113" s="514"/>
      <c r="B113" s="344"/>
      <c r="C113" s="535"/>
      <c r="D113" s="535"/>
      <c r="E113" s="537"/>
      <c r="F113" s="539"/>
      <c r="G113" s="286"/>
      <c r="H113" s="345"/>
      <c r="I113" s="345"/>
      <c r="J113" s="345"/>
      <c r="K113" s="345"/>
      <c r="L113" s="345"/>
      <c r="M113" s="345"/>
      <c r="N113" s="345"/>
      <c r="O113" s="345"/>
      <c r="P113" s="345"/>
      <c r="Q113" s="345"/>
      <c r="R113" s="345"/>
      <c r="S113" s="345"/>
      <c r="T113" s="345"/>
      <c r="U113" s="345"/>
      <c r="V113" s="345"/>
      <c r="W113" s="345"/>
      <c r="X113" s="453">
        <f t="shared" si="4"/>
        <v>0</v>
      </c>
    </row>
    <row r="114" spans="1:24" s="121" customFormat="1" hidden="1" x14ac:dyDescent="0.2">
      <c r="A114" s="515"/>
      <c r="B114" s="346"/>
      <c r="C114" s="536"/>
      <c r="D114" s="536"/>
      <c r="E114" s="538"/>
      <c r="F114" s="540"/>
      <c r="G114" s="284"/>
      <c r="H114" s="347"/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  <c r="U114" s="347"/>
      <c r="V114" s="347"/>
      <c r="W114" s="347"/>
      <c r="X114" s="454">
        <f t="shared" si="4"/>
        <v>0</v>
      </c>
    </row>
    <row r="115" spans="1:24" x14ac:dyDescent="0.2">
      <c r="A115" s="352"/>
      <c r="B115" s="486" t="s">
        <v>854</v>
      </c>
      <c r="C115" s="487"/>
      <c r="D115" s="487"/>
      <c r="E115" s="487"/>
      <c r="F115" s="487"/>
      <c r="G115" s="488"/>
      <c r="H115" s="354">
        <f>SUM(H9+H11+H13+H15+H17+H23+H19+H21+H25+H27+H33+H31+H29+H35+H37+H39+H41)+H43+H45+H47+H7+H49+H51+H53+H55+H57+H59+H63+H61+H65+H67+H69+H91+H71+H73+H75+H77+H79+H81+H83+H85+H87+H89+H93+H95+H97+H99+H101+H103+H105+H107+H109+H111+H113</f>
        <v>5502434.6900000004</v>
      </c>
      <c r="I115" s="354">
        <f t="shared" ref="I115:X115" si="5">SUM(I9+I11+I13+I15+I17+I23+I19+I21+I25+I27+I33+I31+I29+I35+I37+I39+I41)+I43+I45+I47+I7+I49+I51+I53+I55+I57+I59+I63+I61+I65+I67+I69+I91+I71+I73+I75+I77+I79+I81+I83+I85+I87+I89+I93+I95+I97+I99+I101+I103+I105+I107+I109+I111+I113</f>
        <v>4784447.8599999994</v>
      </c>
      <c r="J115" s="354">
        <f t="shared" si="5"/>
        <v>4460218.6099999994</v>
      </c>
      <c r="K115" s="354">
        <f t="shared" si="5"/>
        <v>4370244</v>
      </c>
      <c r="L115" s="354">
        <f t="shared" si="5"/>
        <v>4433148</v>
      </c>
      <c r="M115" s="354">
        <f t="shared" si="5"/>
        <v>4437844</v>
      </c>
      <c r="N115" s="354">
        <f t="shared" si="5"/>
        <v>3248859</v>
      </c>
      <c r="O115" s="354">
        <f t="shared" si="5"/>
        <v>2937136</v>
      </c>
      <c r="P115" s="354">
        <f t="shared" si="5"/>
        <v>2931296</v>
      </c>
      <c r="Q115" s="354">
        <f t="shared" si="5"/>
        <v>3105366</v>
      </c>
      <c r="R115" s="354">
        <f t="shared" si="5"/>
        <v>3232200</v>
      </c>
      <c r="S115" s="354">
        <f t="shared" si="5"/>
        <v>3232200</v>
      </c>
      <c r="T115" s="354">
        <f t="shared" si="5"/>
        <v>3210148</v>
      </c>
      <c r="U115" s="354">
        <f t="shared" si="5"/>
        <v>2753748</v>
      </c>
      <c r="V115" s="354">
        <f t="shared" si="5"/>
        <v>2434694.7599999998</v>
      </c>
      <c r="W115" s="354">
        <f t="shared" si="5"/>
        <v>25298242.109999999</v>
      </c>
      <c r="X115" s="455">
        <f t="shared" si="5"/>
        <v>80372227.030000001</v>
      </c>
    </row>
    <row r="116" spans="1:24" ht="13.5" thickBot="1" x14ac:dyDescent="0.25">
      <c r="A116" s="395"/>
      <c r="B116" s="489" t="s">
        <v>462</v>
      </c>
      <c r="C116" s="490"/>
      <c r="D116" s="490"/>
      <c r="E116" s="490"/>
      <c r="F116" s="490"/>
      <c r="G116" s="491"/>
      <c r="H116" s="396">
        <f>SUM(H10+H12+H14+H16+H18+H24+H20+H22+H26+H28+H34+H32+H30+H36+H38+H40+H42)+H44+H46+H48+H8+H50+H52+H54+H56+H58+H60+H64+H62+H66+H68+H70+H92+H72+H74+H76+H78+H80+H82+H84+H86+H88+H90+H94+H96+H98+H100+H102+H104+H106+H108+H110+H112+H114</f>
        <v>285845</v>
      </c>
      <c r="I116" s="396">
        <f t="shared" ref="I116:X116" si="6">SUM(I10+I12+I14+I16+I18+I24+I20+I22+I26+I28+I34+I32+I30+I36+I38+I40+I42)+I44+I46+I48+I8+I50+I52+I54+I56+I58+I60+I64+I62+I66+I68+I70+I92+I72+I74+I76+I78+I80+I82+I84+I86+I88+I90+I94+I96+I98+I100+I102+I104+I106+I108+I110+I112+I114</f>
        <v>384585</v>
      </c>
      <c r="J116" s="396">
        <f t="shared" si="6"/>
        <v>360485</v>
      </c>
      <c r="K116" s="396">
        <f t="shared" si="6"/>
        <v>338750</v>
      </c>
      <c r="L116" s="396">
        <f t="shared" si="6"/>
        <v>315545</v>
      </c>
      <c r="M116" s="396">
        <f t="shared" si="6"/>
        <v>293025</v>
      </c>
      <c r="N116" s="396">
        <f t="shared" si="6"/>
        <v>271710</v>
      </c>
      <c r="O116" s="396">
        <f t="shared" si="6"/>
        <v>255725</v>
      </c>
      <c r="P116" s="396">
        <f t="shared" si="6"/>
        <v>239680</v>
      </c>
      <c r="Q116" s="396">
        <f t="shared" si="6"/>
        <v>224305</v>
      </c>
      <c r="R116" s="396">
        <f t="shared" si="6"/>
        <v>208090</v>
      </c>
      <c r="S116" s="396">
        <f t="shared" si="6"/>
        <v>191885</v>
      </c>
      <c r="T116" s="396">
        <f t="shared" si="6"/>
        <v>174625</v>
      </c>
      <c r="U116" s="396">
        <f t="shared" si="6"/>
        <v>158450</v>
      </c>
      <c r="V116" s="396">
        <f t="shared" si="6"/>
        <v>144285</v>
      </c>
      <c r="W116" s="396">
        <f t="shared" si="6"/>
        <v>866920</v>
      </c>
      <c r="X116" s="456">
        <f t="shared" si="6"/>
        <v>4713910</v>
      </c>
    </row>
    <row r="117" spans="1:24" ht="13.5" thickTop="1" x14ac:dyDescent="0.2">
      <c r="A117" s="441"/>
      <c r="B117" s="492" t="s">
        <v>463</v>
      </c>
      <c r="C117" s="493"/>
      <c r="D117" s="493"/>
      <c r="E117" s="493"/>
      <c r="F117" s="493"/>
      <c r="G117" s="494"/>
      <c r="H117" s="442">
        <f>SUM(H115:H116)</f>
        <v>5788279.6900000004</v>
      </c>
      <c r="I117" s="442">
        <f t="shared" ref="I117:V117" si="7">SUM(I115:I116)</f>
        <v>5169032.8599999994</v>
      </c>
      <c r="J117" s="442">
        <f t="shared" si="7"/>
        <v>4820703.6099999994</v>
      </c>
      <c r="K117" s="442">
        <f t="shared" si="7"/>
        <v>4708994</v>
      </c>
      <c r="L117" s="442">
        <f t="shared" si="7"/>
        <v>4748693</v>
      </c>
      <c r="M117" s="442">
        <f t="shared" si="7"/>
        <v>4730869</v>
      </c>
      <c r="N117" s="442">
        <f t="shared" si="7"/>
        <v>3520569</v>
      </c>
      <c r="O117" s="442">
        <f t="shared" si="7"/>
        <v>3192861</v>
      </c>
      <c r="P117" s="442">
        <f t="shared" si="7"/>
        <v>3170976</v>
      </c>
      <c r="Q117" s="442">
        <f t="shared" si="7"/>
        <v>3329671</v>
      </c>
      <c r="R117" s="442">
        <f t="shared" si="7"/>
        <v>3440290</v>
      </c>
      <c r="S117" s="442">
        <f t="shared" si="7"/>
        <v>3424085</v>
      </c>
      <c r="T117" s="442">
        <f t="shared" si="7"/>
        <v>3384773</v>
      </c>
      <c r="U117" s="442">
        <f t="shared" si="7"/>
        <v>2912198</v>
      </c>
      <c r="V117" s="442">
        <f t="shared" si="7"/>
        <v>2578979.7599999998</v>
      </c>
      <c r="W117" s="442">
        <f>SUM(W115:W116)</f>
        <v>26165162.109999999</v>
      </c>
      <c r="X117" s="457">
        <f>SUM(X115:X116)</f>
        <v>85086137.030000001</v>
      </c>
    </row>
    <row r="118" spans="1:24" x14ac:dyDescent="0.2">
      <c r="A118" s="398"/>
      <c r="B118" s="499" t="s">
        <v>464</v>
      </c>
      <c r="C118" s="500"/>
      <c r="D118" s="500"/>
      <c r="E118" s="500"/>
      <c r="F118" s="501"/>
      <c r="G118" s="402" t="s">
        <v>465</v>
      </c>
      <c r="H118" s="400">
        <f t="shared" ref="H118:W118" si="8">SUM(H117/$E$121)</f>
        <v>8.8903085543674473E-2</v>
      </c>
      <c r="I118" s="400">
        <f t="shared" si="8"/>
        <v>7.9391977434083563E-2</v>
      </c>
      <c r="J118" s="400">
        <f t="shared" si="8"/>
        <v>7.4041934456095748E-2</v>
      </c>
      <c r="K118" s="400">
        <f t="shared" si="8"/>
        <v>7.2326169229505521E-2</v>
      </c>
      <c r="L118" s="400">
        <f t="shared" si="8"/>
        <v>7.2935912327976693E-2</v>
      </c>
      <c r="M118" s="400">
        <f t="shared" si="8"/>
        <v>7.2662150747404133E-2</v>
      </c>
      <c r="N118" s="400">
        <f t="shared" si="8"/>
        <v>5.4072965325110002E-2</v>
      </c>
      <c r="O118" s="400">
        <f t="shared" si="8"/>
        <v>4.9039647324309238E-2</v>
      </c>
      <c r="P118" s="400">
        <f t="shared" si="8"/>
        <v>4.8703512214859593E-2</v>
      </c>
      <c r="Q118" s="400">
        <f t="shared" si="8"/>
        <v>5.1140933334078764E-2</v>
      </c>
      <c r="R118" s="400">
        <f t="shared" si="8"/>
        <v>5.2839947712521096E-2</v>
      </c>
      <c r="S118" s="400">
        <f t="shared" si="8"/>
        <v>5.2591052604061807E-2</v>
      </c>
      <c r="T118" s="400">
        <f t="shared" si="8"/>
        <v>5.1987253498615861E-2</v>
      </c>
      <c r="U118" s="400">
        <f t="shared" si="8"/>
        <v>4.4728900775373157E-2</v>
      </c>
      <c r="V118" s="400">
        <f t="shared" si="8"/>
        <v>3.9610950143752474E-2</v>
      </c>
      <c r="W118" s="400">
        <f t="shared" si="8"/>
        <v>0.40187478316712782</v>
      </c>
      <c r="X118" s="401"/>
    </row>
    <row r="119" spans="1:24" x14ac:dyDescent="0.2">
      <c r="A119" s="276"/>
      <c r="B119" s="532" t="s">
        <v>685</v>
      </c>
      <c r="C119" s="533"/>
      <c r="D119" s="533"/>
      <c r="E119" s="533"/>
      <c r="F119" s="534"/>
      <c r="G119" s="403" t="s">
        <v>465</v>
      </c>
      <c r="H119" s="358">
        <f t="shared" ref="H119:W119" si="9">SUM((H117-H122)/$E$121)</f>
        <v>8.758697520915637E-2</v>
      </c>
      <c r="I119" s="358">
        <f t="shared" si="9"/>
        <v>7.9391977434083563E-2</v>
      </c>
      <c r="J119" s="358">
        <f t="shared" si="9"/>
        <v>7.4041934456095748E-2</v>
      </c>
      <c r="K119" s="358">
        <f t="shared" si="9"/>
        <v>7.2326169229505521E-2</v>
      </c>
      <c r="L119" s="358">
        <f t="shared" si="9"/>
        <v>7.2935912327976693E-2</v>
      </c>
      <c r="M119" s="358">
        <f t="shared" si="9"/>
        <v>7.2662150747404133E-2</v>
      </c>
      <c r="N119" s="358">
        <f t="shared" si="9"/>
        <v>5.4072965325110002E-2</v>
      </c>
      <c r="O119" s="358">
        <f t="shared" si="9"/>
        <v>4.9039647324309238E-2</v>
      </c>
      <c r="P119" s="358">
        <f t="shared" si="9"/>
        <v>4.8703512214859593E-2</v>
      </c>
      <c r="Q119" s="358">
        <f t="shared" si="9"/>
        <v>5.1140933334078764E-2</v>
      </c>
      <c r="R119" s="358">
        <f t="shared" si="9"/>
        <v>5.2839947712521096E-2</v>
      </c>
      <c r="S119" s="358">
        <f t="shared" si="9"/>
        <v>5.2591052604061807E-2</v>
      </c>
      <c r="T119" s="358">
        <f t="shared" si="9"/>
        <v>5.1987253498615861E-2</v>
      </c>
      <c r="U119" s="358">
        <f t="shared" si="9"/>
        <v>4.4728900775373157E-2</v>
      </c>
      <c r="V119" s="358">
        <f t="shared" si="9"/>
        <v>3.9610950143752474E-2</v>
      </c>
      <c r="W119" s="358">
        <f t="shared" si="9"/>
        <v>0.40187478316712782</v>
      </c>
      <c r="X119" s="357"/>
    </row>
    <row r="120" spans="1:24" x14ac:dyDescent="0.2">
      <c r="A120" s="276"/>
      <c r="B120" s="532" t="s">
        <v>855</v>
      </c>
      <c r="C120" s="533"/>
      <c r="D120" s="534"/>
      <c r="E120" s="354">
        <f>SUM(E7:E114)</f>
        <v>96341262.63000001</v>
      </c>
      <c r="F120" s="404"/>
      <c r="G120" s="405"/>
      <c r="H120" s="406"/>
      <c r="I120" s="406"/>
      <c r="J120" s="406"/>
      <c r="K120" s="406"/>
      <c r="L120" s="406"/>
      <c r="M120" s="406"/>
      <c r="N120" s="406"/>
      <c r="O120" s="406"/>
      <c r="P120" s="359"/>
      <c r="Q120" s="359"/>
      <c r="R120" s="359"/>
      <c r="S120" s="359"/>
      <c r="T120" s="359"/>
      <c r="U120" s="359"/>
      <c r="V120" s="359"/>
      <c r="W120" s="359"/>
      <c r="X120" s="360"/>
    </row>
    <row r="121" spans="1:24" x14ac:dyDescent="0.2">
      <c r="A121" s="276"/>
      <c r="B121" s="532" t="s">
        <v>856</v>
      </c>
      <c r="C121" s="533"/>
      <c r="D121" s="534"/>
      <c r="E121" s="424">
        <f>78112214-13004466</f>
        <v>65107748</v>
      </c>
      <c r="F121" s="404"/>
      <c r="G121" s="405"/>
      <c r="H121" s="406"/>
      <c r="I121" s="406"/>
      <c r="J121" s="406"/>
      <c r="K121" s="406"/>
      <c r="L121" s="406"/>
      <c r="M121" s="406"/>
      <c r="N121" s="406"/>
      <c r="O121" s="406"/>
      <c r="P121" s="359"/>
      <c r="Q121" s="359"/>
      <c r="R121" s="359"/>
      <c r="S121" s="359"/>
      <c r="T121" s="359"/>
      <c r="U121" s="359"/>
      <c r="V121" s="359"/>
      <c r="W121" s="359"/>
      <c r="X121" s="360"/>
    </row>
    <row r="122" spans="1:24" x14ac:dyDescent="0.2">
      <c r="C122" s="95"/>
      <c r="D122" s="427"/>
      <c r="E122" s="498" t="s">
        <v>852</v>
      </c>
      <c r="F122" s="498"/>
      <c r="G122" s="498"/>
      <c r="H122" s="425">
        <f>H57-500.84</f>
        <v>85688.98</v>
      </c>
      <c r="I122" s="407"/>
      <c r="J122" s="407"/>
      <c r="K122" s="407"/>
      <c r="L122" s="407"/>
      <c r="M122" s="407"/>
      <c r="N122" s="407"/>
      <c r="O122" s="407"/>
      <c r="P122" s="361"/>
      <c r="Q122" s="361"/>
      <c r="R122" s="361"/>
      <c r="S122" s="361"/>
      <c r="T122" s="361"/>
      <c r="U122" s="361"/>
      <c r="V122" s="361"/>
      <c r="W122" s="362"/>
      <c r="X122" s="361"/>
    </row>
    <row r="123" spans="1:24" x14ac:dyDescent="0.2">
      <c r="C123" s="428"/>
      <c r="D123" s="428"/>
      <c r="E123" s="530" t="s">
        <v>849</v>
      </c>
      <c r="F123" s="530"/>
      <c r="G123" s="530"/>
      <c r="H123" s="426">
        <f>5416745.71</f>
        <v>5416745.71</v>
      </c>
      <c r="I123" s="407"/>
      <c r="J123" s="407"/>
      <c r="K123" s="407"/>
      <c r="L123" s="407"/>
      <c r="M123" s="407"/>
      <c r="N123" s="407"/>
      <c r="O123" s="407"/>
      <c r="P123" s="361"/>
      <c r="Q123" s="361"/>
      <c r="R123" s="361"/>
      <c r="S123" s="361"/>
      <c r="T123" s="361"/>
      <c r="U123" s="361"/>
      <c r="V123" s="361"/>
      <c r="W123" s="362"/>
      <c r="X123" s="361"/>
    </row>
    <row r="124" spans="1:24" x14ac:dyDescent="0.2">
      <c r="C124" s="292"/>
      <c r="D124" s="292"/>
      <c r="E124" s="531"/>
      <c r="F124" s="531"/>
      <c r="G124" s="531"/>
      <c r="H124" s="407"/>
      <c r="I124" s="407"/>
      <c r="J124" s="407"/>
      <c r="K124" s="407"/>
      <c r="L124" s="407"/>
      <c r="M124" s="407"/>
      <c r="N124" s="407"/>
      <c r="O124" s="407"/>
      <c r="P124" s="361"/>
      <c r="Q124" s="361"/>
      <c r="R124" s="361"/>
      <c r="S124" s="361"/>
      <c r="T124" s="361"/>
      <c r="U124" s="361"/>
      <c r="V124" s="361"/>
      <c r="W124" s="362"/>
      <c r="X124" s="361"/>
    </row>
    <row r="125" spans="1:24" x14ac:dyDescent="0.2">
      <c r="D125" s="122"/>
      <c r="E125" s="363"/>
      <c r="F125" s="293"/>
      <c r="G125" s="293"/>
      <c r="H125" s="408"/>
      <c r="I125" s="408"/>
      <c r="J125" s="408"/>
      <c r="K125" s="408"/>
      <c r="L125" s="408"/>
      <c r="M125" s="408"/>
      <c r="N125" s="408"/>
      <c r="O125" s="408"/>
      <c r="P125" s="362"/>
      <c r="Q125" s="362"/>
      <c r="R125" s="362"/>
      <c r="S125" s="362"/>
      <c r="T125" s="362"/>
      <c r="U125" s="362"/>
      <c r="V125" s="362"/>
      <c r="X125" s="364"/>
    </row>
    <row r="126" spans="1:24" s="368" customFormat="1" hidden="1" x14ac:dyDescent="0.2">
      <c r="A126" s="95"/>
      <c r="B126" s="59"/>
      <c r="C126" s="505" t="s">
        <v>687</v>
      </c>
      <c r="D126" s="505"/>
      <c r="E126" s="505"/>
      <c r="F126" s="505"/>
      <c r="G126" s="505"/>
      <c r="H126" s="419"/>
      <c r="I126" s="409">
        <f t="shared" ref="I126:V126" si="10">I115-H115</f>
        <v>-717986.83000000101</v>
      </c>
      <c r="J126" s="409">
        <f t="shared" si="10"/>
        <v>-324229.25</v>
      </c>
      <c r="K126" s="409">
        <f t="shared" si="10"/>
        <v>-89974.609999999404</v>
      </c>
      <c r="L126" s="409">
        <f t="shared" si="10"/>
        <v>62904</v>
      </c>
      <c r="M126" s="409">
        <f t="shared" si="10"/>
        <v>4696</v>
      </c>
      <c r="N126" s="409">
        <f t="shared" si="10"/>
        <v>-1188985</v>
      </c>
      <c r="O126" s="409">
        <f t="shared" si="10"/>
        <v>-311723</v>
      </c>
      <c r="P126" s="366">
        <f t="shared" si="10"/>
        <v>-5840</v>
      </c>
      <c r="Q126" s="366">
        <f t="shared" si="10"/>
        <v>174070</v>
      </c>
      <c r="R126" s="366">
        <f t="shared" si="10"/>
        <v>126834</v>
      </c>
      <c r="S126" s="366">
        <f t="shared" si="10"/>
        <v>0</v>
      </c>
      <c r="T126" s="366">
        <f t="shared" si="10"/>
        <v>-22052</v>
      </c>
      <c r="U126" s="366">
        <f t="shared" si="10"/>
        <v>-456400</v>
      </c>
      <c r="V126" s="366">
        <f t="shared" si="10"/>
        <v>-319053.24000000022</v>
      </c>
      <c r="W126" s="365"/>
      <c r="X126" s="367"/>
    </row>
    <row r="127" spans="1:24" s="368" customFormat="1" hidden="1" x14ac:dyDescent="0.2">
      <c r="A127" s="95"/>
      <c r="B127" s="59"/>
      <c r="C127" s="505" t="s">
        <v>688</v>
      </c>
      <c r="D127" s="505"/>
      <c r="E127" s="505"/>
      <c r="F127" s="505"/>
      <c r="G127" s="505"/>
      <c r="H127" s="419"/>
      <c r="I127" s="409">
        <f t="shared" ref="I127:V127" si="11">I117-H117</f>
        <v>-619246.83000000101</v>
      </c>
      <c r="J127" s="409">
        <f t="shared" si="11"/>
        <v>-348329.25</v>
      </c>
      <c r="K127" s="409">
        <f t="shared" si="11"/>
        <v>-111709.6099999994</v>
      </c>
      <c r="L127" s="409">
        <f t="shared" si="11"/>
        <v>39699</v>
      </c>
      <c r="M127" s="409">
        <f t="shared" si="11"/>
        <v>-17824</v>
      </c>
      <c r="N127" s="409">
        <f t="shared" si="11"/>
        <v>-1210300</v>
      </c>
      <c r="O127" s="409">
        <f t="shared" si="11"/>
        <v>-327708</v>
      </c>
      <c r="P127" s="366">
        <f t="shared" si="11"/>
        <v>-21885</v>
      </c>
      <c r="Q127" s="366">
        <f t="shared" si="11"/>
        <v>158695</v>
      </c>
      <c r="R127" s="366">
        <f t="shared" si="11"/>
        <v>110619</v>
      </c>
      <c r="S127" s="366">
        <f t="shared" si="11"/>
        <v>-16205</v>
      </c>
      <c r="T127" s="366">
        <f t="shared" si="11"/>
        <v>-39312</v>
      </c>
      <c r="U127" s="366">
        <f t="shared" si="11"/>
        <v>-472575</v>
      </c>
      <c r="V127" s="366">
        <f t="shared" si="11"/>
        <v>-333218.24000000022</v>
      </c>
      <c r="W127" s="365"/>
      <c r="X127" s="367"/>
    </row>
    <row r="128" spans="1:24" s="368" customFormat="1" hidden="1" x14ac:dyDescent="0.2">
      <c r="A128" s="369"/>
      <c r="B128" s="125"/>
      <c r="C128" s="369"/>
      <c r="D128" s="369"/>
      <c r="E128" s="99"/>
      <c r="F128" s="95"/>
      <c r="G128" s="95"/>
      <c r="H128" s="410"/>
      <c r="I128" s="410"/>
      <c r="J128" s="410"/>
      <c r="K128" s="410"/>
      <c r="L128" s="410"/>
      <c r="M128" s="410"/>
      <c r="N128" s="410"/>
      <c r="O128" s="410"/>
      <c r="P128" s="370"/>
      <c r="Q128" s="370"/>
      <c r="R128" s="370"/>
      <c r="S128" s="370"/>
      <c r="T128" s="370"/>
      <c r="U128" s="370"/>
      <c r="V128" s="370"/>
      <c r="W128" s="370"/>
      <c r="X128" s="370"/>
    </row>
    <row r="129" spans="1:24" s="368" customFormat="1" hidden="1" x14ac:dyDescent="0.2">
      <c r="A129" s="369"/>
      <c r="B129" s="125"/>
      <c r="C129" s="369"/>
      <c r="D129" s="369"/>
      <c r="E129" s="99"/>
      <c r="F129" s="95"/>
      <c r="G129" s="95"/>
      <c r="H129" s="410"/>
      <c r="I129" s="410"/>
      <c r="J129" s="410"/>
      <c r="K129" s="410"/>
      <c r="L129" s="410"/>
      <c r="M129" s="410"/>
      <c r="N129" s="410"/>
      <c r="O129" s="410"/>
      <c r="P129" s="370"/>
      <c r="Q129" s="370"/>
      <c r="R129" s="370"/>
      <c r="S129" s="370"/>
      <c r="T129" s="370"/>
      <c r="U129" s="370"/>
      <c r="V129" s="370"/>
      <c r="W129" s="370"/>
      <c r="X129" s="370"/>
    </row>
    <row r="130" spans="1:24" s="368" customFormat="1" hidden="1" x14ac:dyDescent="0.2">
      <c r="A130" s="369"/>
      <c r="B130" s="125"/>
      <c r="C130" s="369"/>
      <c r="D130" s="369"/>
      <c r="E130" s="99"/>
      <c r="F130" s="95"/>
      <c r="G130" s="95"/>
      <c r="H130" s="410"/>
      <c r="I130" s="410"/>
      <c r="J130" s="410"/>
      <c r="K130" s="410"/>
      <c r="L130" s="410"/>
      <c r="M130" s="410"/>
      <c r="N130" s="410"/>
      <c r="O130" s="410"/>
      <c r="P130" s="370"/>
      <c r="Q130" s="370"/>
      <c r="R130" s="370"/>
      <c r="S130" s="370"/>
      <c r="T130" s="370"/>
      <c r="U130" s="370"/>
      <c r="V130" s="370"/>
      <c r="W130" s="370"/>
      <c r="X130" s="370"/>
    </row>
    <row r="131" spans="1:24" s="368" customFormat="1" ht="18.75" customHeight="1" x14ac:dyDescent="0.2">
      <c r="A131" s="369"/>
      <c r="B131" s="432" t="s">
        <v>466</v>
      </c>
      <c r="C131" s="369"/>
      <c r="D131" s="369"/>
      <c r="E131" s="99"/>
      <c r="F131" s="95"/>
      <c r="G131" s="95"/>
      <c r="H131" s="410"/>
      <c r="I131" s="410"/>
      <c r="J131" s="410"/>
      <c r="K131" s="410"/>
      <c r="L131" s="410"/>
      <c r="M131" s="410"/>
      <c r="N131" s="410"/>
      <c r="O131" s="410"/>
      <c r="P131" s="370"/>
      <c r="Q131" s="370"/>
      <c r="R131" s="370"/>
      <c r="S131" s="370"/>
      <c r="T131" s="370"/>
      <c r="U131" s="370"/>
      <c r="V131" s="370"/>
      <c r="W131" s="370"/>
      <c r="X131" s="370"/>
    </row>
    <row r="132" spans="1:24" s="368" customFormat="1" x14ac:dyDescent="0.2">
      <c r="A132" s="522">
        <v>1</v>
      </c>
      <c r="B132" s="348" t="s">
        <v>433</v>
      </c>
      <c r="C132" s="524" t="s">
        <v>689</v>
      </c>
      <c r="D132" s="300"/>
      <c r="E132" s="526">
        <v>5122338.5199999996</v>
      </c>
      <c r="F132" s="528" t="s">
        <v>467</v>
      </c>
      <c r="G132" s="391" t="s">
        <v>432</v>
      </c>
      <c r="H132" s="315">
        <v>216000</v>
      </c>
      <c r="I132" s="315">
        <v>216000</v>
      </c>
      <c r="J132" s="315">
        <v>216000</v>
      </c>
      <c r="K132" s="315">
        <v>216000</v>
      </c>
      <c r="L132" s="315">
        <v>216000</v>
      </c>
      <c r="M132" s="315">
        <v>216000</v>
      </c>
      <c r="N132" s="315">
        <v>216000</v>
      </c>
      <c r="O132" s="315">
        <v>216000</v>
      </c>
      <c r="P132" s="314">
        <v>216000</v>
      </c>
      <c r="Q132" s="314">
        <v>216000</v>
      </c>
      <c r="R132" s="314">
        <v>0</v>
      </c>
      <c r="S132" s="314">
        <v>0</v>
      </c>
      <c r="T132" s="314">
        <v>0</v>
      </c>
      <c r="U132" s="314">
        <v>0</v>
      </c>
      <c r="V132" s="314">
        <v>0</v>
      </c>
      <c r="W132" s="435">
        <v>0</v>
      </c>
      <c r="X132" s="440">
        <f t="shared" ref="X132:X139" si="12">SUM(H132:W132)</f>
        <v>2160000</v>
      </c>
    </row>
    <row r="133" spans="1:24" s="368" customFormat="1" x14ac:dyDescent="0.2">
      <c r="A133" s="523"/>
      <c r="B133" s="392" t="s">
        <v>468</v>
      </c>
      <c r="C133" s="525"/>
      <c r="D133" s="317"/>
      <c r="E133" s="527"/>
      <c r="F133" s="529"/>
      <c r="G133" s="393">
        <v>5.0000000000000001E-3</v>
      </c>
      <c r="H133" s="319">
        <v>10785</v>
      </c>
      <c r="I133" s="319">
        <v>9690</v>
      </c>
      <c r="J133" s="319">
        <v>8595</v>
      </c>
      <c r="K133" s="319">
        <v>7520</v>
      </c>
      <c r="L133" s="319">
        <v>6405</v>
      </c>
      <c r="M133" s="319">
        <v>5310</v>
      </c>
      <c r="N133" s="319">
        <v>4215</v>
      </c>
      <c r="O133" s="319">
        <v>3130</v>
      </c>
      <c r="P133" s="318">
        <v>2025</v>
      </c>
      <c r="Q133" s="318">
        <v>930</v>
      </c>
      <c r="R133" s="318">
        <v>65</v>
      </c>
      <c r="S133" s="318">
        <v>0</v>
      </c>
      <c r="T133" s="318">
        <v>0</v>
      </c>
      <c r="U133" s="318">
        <v>0</v>
      </c>
      <c r="V133" s="318">
        <v>0</v>
      </c>
      <c r="W133" s="436">
        <v>0</v>
      </c>
      <c r="X133" s="440">
        <f t="shared" si="12"/>
        <v>58670</v>
      </c>
    </row>
    <row r="134" spans="1:24" s="368" customFormat="1" x14ac:dyDescent="0.2">
      <c r="A134" s="514">
        <v>2</v>
      </c>
      <c r="B134" s="344" t="s">
        <v>433</v>
      </c>
      <c r="C134" s="516" t="s">
        <v>690</v>
      </c>
      <c r="D134" s="306"/>
      <c r="E134" s="518">
        <v>522193.95</v>
      </c>
      <c r="F134" s="520" t="s">
        <v>469</v>
      </c>
      <c r="G134" s="429" t="s">
        <v>432</v>
      </c>
      <c r="H134" s="308"/>
      <c r="I134" s="308"/>
      <c r="J134" s="308">
        <v>10699.57</v>
      </c>
      <c r="K134" s="308">
        <v>32139.84</v>
      </c>
      <c r="L134" s="308">
        <v>32139.84</v>
      </c>
      <c r="M134" s="308">
        <v>32139.84</v>
      </c>
      <c r="N134" s="308">
        <v>32139.84</v>
      </c>
      <c r="O134" s="308">
        <v>32139.84</v>
      </c>
      <c r="P134" s="307">
        <v>32139.84</v>
      </c>
      <c r="Q134" s="307">
        <v>32061.39</v>
      </c>
      <c r="R134" s="307">
        <v>0</v>
      </c>
      <c r="S134" s="307">
        <v>0</v>
      </c>
      <c r="T134" s="307">
        <v>0</v>
      </c>
      <c r="U134" s="307">
        <v>0</v>
      </c>
      <c r="V134" s="307">
        <v>0</v>
      </c>
      <c r="W134" s="437">
        <v>0</v>
      </c>
      <c r="X134" s="440">
        <f t="shared" si="12"/>
        <v>235600</v>
      </c>
    </row>
    <row r="135" spans="1:24" s="368" customFormat="1" x14ac:dyDescent="0.2">
      <c r="A135" s="515"/>
      <c r="B135" s="430" t="s">
        <v>470</v>
      </c>
      <c r="C135" s="517"/>
      <c r="D135" s="310"/>
      <c r="E135" s="519"/>
      <c r="F135" s="521"/>
      <c r="G135" s="431">
        <v>5.0000000000000001E-3</v>
      </c>
      <c r="H135" s="312">
        <v>1195</v>
      </c>
      <c r="I135" s="312">
        <v>1195</v>
      </c>
      <c r="J135" s="312">
        <v>1195</v>
      </c>
      <c r="K135" s="312">
        <v>1120</v>
      </c>
      <c r="L135" s="312">
        <v>955</v>
      </c>
      <c r="M135" s="312">
        <v>790</v>
      </c>
      <c r="N135" s="312">
        <v>630</v>
      </c>
      <c r="O135" s="312">
        <v>465</v>
      </c>
      <c r="P135" s="311">
        <v>305</v>
      </c>
      <c r="Q135" s="311">
        <v>140</v>
      </c>
      <c r="R135" s="311">
        <v>10</v>
      </c>
      <c r="S135" s="311">
        <v>0</v>
      </c>
      <c r="T135" s="311">
        <v>0</v>
      </c>
      <c r="U135" s="311">
        <v>0</v>
      </c>
      <c r="V135" s="311">
        <v>0</v>
      </c>
      <c r="W135" s="438">
        <v>0</v>
      </c>
      <c r="X135" s="440">
        <f t="shared" si="12"/>
        <v>8000</v>
      </c>
    </row>
    <row r="136" spans="1:24" s="368" customFormat="1" x14ac:dyDescent="0.2">
      <c r="A136" s="522">
        <v>3</v>
      </c>
      <c r="B136" s="348" t="s">
        <v>433</v>
      </c>
      <c r="C136" s="524" t="s">
        <v>722</v>
      </c>
      <c r="D136" s="300"/>
      <c r="E136" s="526">
        <v>6033386</v>
      </c>
      <c r="F136" s="524" t="s">
        <v>850</v>
      </c>
      <c r="G136" s="391" t="s">
        <v>432</v>
      </c>
      <c r="H136" s="315"/>
      <c r="I136" s="315"/>
      <c r="J136" s="315">
        <v>221321</v>
      </c>
      <c r="K136" s="315">
        <v>221412</v>
      </c>
      <c r="L136" s="315">
        <v>221412</v>
      </c>
      <c r="M136" s="315">
        <v>221412</v>
      </c>
      <c r="N136" s="315">
        <v>221412</v>
      </c>
      <c r="O136" s="315">
        <v>221412</v>
      </c>
      <c r="P136" s="314">
        <v>221412</v>
      </c>
      <c r="Q136" s="314">
        <v>221412</v>
      </c>
      <c r="R136" s="314">
        <v>221412</v>
      </c>
      <c r="S136" s="314">
        <v>221412</v>
      </c>
      <c r="T136" s="314">
        <v>221412</v>
      </c>
      <c r="U136" s="314">
        <v>221412</v>
      </c>
      <c r="V136" s="314">
        <v>221412</v>
      </c>
      <c r="W136" s="435">
        <v>3155121</v>
      </c>
      <c r="X136" s="440">
        <f t="shared" si="12"/>
        <v>6033386</v>
      </c>
    </row>
    <row r="137" spans="1:24" s="368" customFormat="1" x14ac:dyDescent="0.2">
      <c r="A137" s="523"/>
      <c r="B137" s="392" t="s">
        <v>851</v>
      </c>
      <c r="C137" s="525"/>
      <c r="D137" s="317"/>
      <c r="E137" s="527"/>
      <c r="F137" s="525"/>
      <c r="G137" s="393">
        <v>1.477E-2</v>
      </c>
      <c r="H137" s="319">
        <v>90355</v>
      </c>
      <c r="I137" s="319">
        <v>90355</v>
      </c>
      <c r="J137" s="319">
        <v>89660</v>
      </c>
      <c r="K137" s="319">
        <v>86765</v>
      </c>
      <c r="L137" s="319">
        <v>83210</v>
      </c>
      <c r="M137" s="319">
        <v>79895</v>
      </c>
      <c r="N137" s="319">
        <v>76580</v>
      </c>
      <c r="O137" s="319">
        <v>73465</v>
      </c>
      <c r="P137" s="318">
        <v>69950</v>
      </c>
      <c r="Q137" s="318">
        <v>66635</v>
      </c>
      <c r="R137" s="318">
        <v>63320</v>
      </c>
      <c r="S137" s="318">
        <v>60170</v>
      </c>
      <c r="T137" s="318">
        <v>56685</v>
      </c>
      <c r="U137" s="318">
        <v>53370</v>
      </c>
      <c r="V137" s="318">
        <v>50055</v>
      </c>
      <c r="W137" s="436">
        <v>353470</v>
      </c>
      <c r="X137" s="440">
        <f t="shared" si="12"/>
        <v>1443940</v>
      </c>
    </row>
    <row r="138" spans="1:24" s="368" customFormat="1" hidden="1" x14ac:dyDescent="0.2">
      <c r="A138" s="506"/>
      <c r="B138" s="371"/>
      <c r="C138" s="508"/>
      <c r="D138" s="372"/>
      <c r="E138" s="510"/>
      <c r="F138" s="512"/>
      <c r="G138" s="294"/>
      <c r="H138" s="411"/>
      <c r="I138" s="411"/>
      <c r="J138" s="411"/>
      <c r="K138" s="411"/>
      <c r="L138" s="411"/>
      <c r="M138" s="411"/>
      <c r="N138" s="411"/>
      <c r="O138" s="411"/>
      <c r="P138" s="373"/>
      <c r="Q138" s="373"/>
      <c r="R138" s="373"/>
      <c r="S138" s="373"/>
      <c r="T138" s="374"/>
      <c r="U138" s="374"/>
      <c r="V138" s="374"/>
      <c r="W138" s="374"/>
      <c r="X138" s="439">
        <f t="shared" si="12"/>
        <v>0</v>
      </c>
    </row>
    <row r="139" spans="1:24" s="368" customFormat="1" hidden="1" x14ac:dyDescent="0.2">
      <c r="A139" s="507"/>
      <c r="B139" s="375"/>
      <c r="C139" s="509"/>
      <c r="D139" s="376"/>
      <c r="E139" s="511"/>
      <c r="F139" s="513"/>
      <c r="G139" s="295"/>
      <c r="H139" s="412"/>
      <c r="I139" s="412"/>
      <c r="J139" s="412"/>
      <c r="K139" s="412"/>
      <c r="L139" s="412"/>
      <c r="M139" s="412"/>
      <c r="N139" s="412"/>
      <c r="O139" s="412"/>
      <c r="P139" s="377"/>
      <c r="Q139" s="377"/>
      <c r="R139" s="377"/>
      <c r="S139" s="377"/>
      <c r="T139" s="378"/>
      <c r="U139" s="378"/>
      <c r="V139" s="378"/>
      <c r="W139" s="378"/>
      <c r="X139" s="439">
        <f t="shared" si="12"/>
        <v>0</v>
      </c>
    </row>
    <row r="140" spans="1:24" s="368" customFormat="1" hidden="1" x14ac:dyDescent="0.2">
      <c r="A140" s="506"/>
      <c r="B140" s="371"/>
      <c r="C140" s="508"/>
      <c r="D140" s="372"/>
      <c r="E140" s="510"/>
      <c r="F140" s="512"/>
      <c r="G140" s="294"/>
      <c r="H140" s="411"/>
      <c r="I140" s="411"/>
      <c r="J140" s="411"/>
      <c r="K140" s="411"/>
      <c r="L140" s="411"/>
      <c r="M140" s="411"/>
      <c r="N140" s="411"/>
      <c r="O140" s="411"/>
      <c r="P140" s="373"/>
      <c r="Q140" s="373"/>
      <c r="R140" s="373"/>
      <c r="S140" s="373"/>
      <c r="T140" s="374"/>
      <c r="U140" s="374"/>
      <c r="V140" s="374"/>
      <c r="W140" s="374"/>
      <c r="X140" s="439">
        <f t="shared" ref="X140:X141" si="13">SUM(H140:W140)</f>
        <v>0</v>
      </c>
    </row>
    <row r="141" spans="1:24" s="368" customFormat="1" hidden="1" x14ac:dyDescent="0.2">
      <c r="A141" s="507"/>
      <c r="B141" s="375"/>
      <c r="C141" s="509"/>
      <c r="D141" s="376"/>
      <c r="E141" s="511"/>
      <c r="F141" s="513"/>
      <c r="G141" s="295"/>
      <c r="H141" s="412"/>
      <c r="I141" s="412"/>
      <c r="J141" s="412"/>
      <c r="K141" s="412"/>
      <c r="L141" s="412"/>
      <c r="M141" s="412"/>
      <c r="N141" s="412"/>
      <c r="O141" s="412"/>
      <c r="P141" s="377"/>
      <c r="Q141" s="377"/>
      <c r="R141" s="377"/>
      <c r="S141" s="377"/>
      <c r="T141" s="378"/>
      <c r="U141" s="378"/>
      <c r="V141" s="378"/>
      <c r="W141" s="378"/>
      <c r="X141" s="439">
        <f t="shared" si="13"/>
        <v>0</v>
      </c>
    </row>
    <row r="142" spans="1:24" s="368" customFormat="1" x14ac:dyDescent="0.2">
      <c r="A142" s="352"/>
      <c r="B142" s="495" t="s">
        <v>854</v>
      </c>
      <c r="C142" s="495"/>
      <c r="D142" s="495"/>
      <c r="E142" s="495"/>
      <c r="F142" s="495"/>
      <c r="G142" s="495"/>
      <c r="H142" s="354">
        <f>H132+H134+H136+H138+H140</f>
        <v>216000</v>
      </c>
      <c r="I142" s="354">
        <f t="shared" ref="I142:W143" si="14">I132+I134+I136+I138+I140</f>
        <v>216000</v>
      </c>
      <c r="J142" s="354">
        <f t="shared" si="14"/>
        <v>448020.57</v>
      </c>
      <c r="K142" s="354">
        <f t="shared" si="14"/>
        <v>469551.83999999997</v>
      </c>
      <c r="L142" s="354">
        <f t="shared" si="14"/>
        <v>469551.83999999997</v>
      </c>
      <c r="M142" s="354">
        <f t="shared" si="14"/>
        <v>469551.83999999997</v>
      </c>
      <c r="N142" s="354">
        <f t="shared" si="14"/>
        <v>469551.83999999997</v>
      </c>
      <c r="O142" s="354">
        <f t="shared" si="14"/>
        <v>469551.83999999997</v>
      </c>
      <c r="P142" s="354">
        <f t="shared" si="14"/>
        <v>469551.83999999997</v>
      </c>
      <c r="Q142" s="354">
        <f t="shared" si="14"/>
        <v>469473.39</v>
      </c>
      <c r="R142" s="354">
        <f t="shared" si="14"/>
        <v>221412</v>
      </c>
      <c r="S142" s="354">
        <f t="shared" si="14"/>
        <v>221412</v>
      </c>
      <c r="T142" s="354">
        <f t="shared" si="14"/>
        <v>221412</v>
      </c>
      <c r="U142" s="354">
        <f t="shared" si="14"/>
        <v>221412</v>
      </c>
      <c r="V142" s="354">
        <f t="shared" si="14"/>
        <v>221412</v>
      </c>
      <c r="W142" s="354">
        <f t="shared" si="14"/>
        <v>3155121</v>
      </c>
      <c r="X142" s="354">
        <f>X132+X134+X136+X138+X140</f>
        <v>8428986</v>
      </c>
    </row>
    <row r="143" spans="1:24" s="368" customFormat="1" ht="13.5" thickBot="1" x14ac:dyDescent="0.25">
      <c r="A143" s="389"/>
      <c r="B143" s="496" t="s">
        <v>462</v>
      </c>
      <c r="C143" s="496"/>
      <c r="D143" s="496"/>
      <c r="E143" s="496"/>
      <c r="F143" s="496"/>
      <c r="G143" s="496"/>
      <c r="H143" s="396">
        <f>H133+H135+H137+H139+H141</f>
        <v>102335</v>
      </c>
      <c r="I143" s="396">
        <f t="shared" si="14"/>
        <v>101240</v>
      </c>
      <c r="J143" s="396">
        <f t="shared" si="14"/>
        <v>99450</v>
      </c>
      <c r="K143" s="396">
        <f t="shared" si="14"/>
        <v>95405</v>
      </c>
      <c r="L143" s="396">
        <f t="shared" si="14"/>
        <v>90570</v>
      </c>
      <c r="M143" s="396">
        <f t="shared" si="14"/>
        <v>85995</v>
      </c>
      <c r="N143" s="396">
        <f t="shared" si="14"/>
        <v>81425</v>
      </c>
      <c r="O143" s="396">
        <f t="shared" si="14"/>
        <v>77060</v>
      </c>
      <c r="P143" s="396">
        <f t="shared" si="14"/>
        <v>72280</v>
      </c>
      <c r="Q143" s="396">
        <f t="shared" si="14"/>
        <v>67705</v>
      </c>
      <c r="R143" s="396">
        <f t="shared" si="14"/>
        <v>63395</v>
      </c>
      <c r="S143" s="396">
        <f t="shared" si="14"/>
        <v>60170</v>
      </c>
      <c r="T143" s="396">
        <f t="shared" si="14"/>
        <v>56685</v>
      </c>
      <c r="U143" s="396">
        <f t="shared" si="14"/>
        <v>53370</v>
      </c>
      <c r="V143" s="396">
        <f t="shared" si="14"/>
        <v>50055</v>
      </c>
      <c r="W143" s="396">
        <f t="shared" si="14"/>
        <v>353470</v>
      </c>
      <c r="X143" s="396">
        <f>X133+X135+X137+X139+X141</f>
        <v>1510610</v>
      </c>
    </row>
    <row r="144" spans="1:24" s="368" customFormat="1" ht="13.5" thickTop="1" x14ac:dyDescent="0.2">
      <c r="A144" s="443"/>
      <c r="B144" s="497" t="s">
        <v>471</v>
      </c>
      <c r="C144" s="497"/>
      <c r="D144" s="497"/>
      <c r="E144" s="497"/>
      <c r="F144" s="497"/>
      <c r="G144" s="497"/>
      <c r="H144" s="444">
        <f t="shared" ref="H144:V144" si="15">SUM(H142:H143)</f>
        <v>318335</v>
      </c>
      <c r="I144" s="444">
        <f t="shared" si="15"/>
        <v>317240</v>
      </c>
      <c r="J144" s="444">
        <f t="shared" si="15"/>
        <v>547470.57000000007</v>
      </c>
      <c r="K144" s="444">
        <f t="shared" si="15"/>
        <v>564956.84</v>
      </c>
      <c r="L144" s="444">
        <f t="shared" si="15"/>
        <v>560121.84</v>
      </c>
      <c r="M144" s="397">
        <f t="shared" si="15"/>
        <v>555546.84</v>
      </c>
      <c r="N144" s="397">
        <f t="shared" si="15"/>
        <v>550976.84</v>
      </c>
      <c r="O144" s="397">
        <f t="shared" si="15"/>
        <v>546611.84</v>
      </c>
      <c r="P144" s="397">
        <f t="shared" si="15"/>
        <v>541831.84</v>
      </c>
      <c r="Q144" s="397">
        <f t="shared" si="15"/>
        <v>537178.39</v>
      </c>
      <c r="R144" s="397">
        <f t="shared" si="15"/>
        <v>284807</v>
      </c>
      <c r="S144" s="397">
        <f t="shared" si="15"/>
        <v>281582</v>
      </c>
      <c r="T144" s="397">
        <f t="shared" si="15"/>
        <v>278097</v>
      </c>
      <c r="U144" s="397">
        <f t="shared" si="15"/>
        <v>274782</v>
      </c>
      <c r="V144" s="397">
        <f t="shared" si="15"/>
        <v>271467</v>
      </c>
      <c r="W144" s="397">
        <f>SUM(W142:W143)</f>
        <v>3508591</v>
      </c>
      <c r="X144" s="397">
        <f>SUM(X142:X143)</f>
        <v>9939596</v>
      </c>
    </row>
    <row r="145" spans="1:24" s="368" customFormat="1" x14ac:dyDescent="0.2">
      <c r="A145" s="276"/>
      <c r="B145" s="483" t="s">
        <v>857</v>
      </c>
      <c r="C145" s="484"/>
      <c r="D145" s="485"/>
      <c r="E145" s="353">
        <f>E132+E134+E136</f>
        <v>11677918.469999999</v>
      </c>
      <c r="F145" s="380"/>
      <c r="G145" s="278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1"/>
      <c r="S145" s="381"/>
      <c r="T145" s="381"/>
      <c r="U145" s="381"/>
      <c r="V145" s="381"/>
      <c r="W145" s="381"/>
      <c r="X145" s="381"/>
    </row>
    <row r="146" spans="1:24" s="368" customFormat="1" hidden="1" x14ac:dyDescent="0.2">
      <c r="A146" s="278"/>
      <c r="B146" s="379"/>
      <c r="C146" s="380"/>
      <c r="D146" s="380"/>
      <c r="E146" s="502" t="s">
        <v>691</v>
      </c>
      <c r="F146" s="502"/>
      <c r="G146" s="502"/>
      <c r="H146" s="381"/>
      <c r="I146" s="381"/>
      <c r="J146" s="381"/>
      <c r="K146" s="381"/>
      <c r="L146" s="381"/>
      <c r="M146" s="381"/>
      <c r="N146" s="381"/>
      <c r="O146" s="381"/>
      <c r="P146" s="381"/>
      <c r="Q146" s="381"/>
      <c r="R146" s="381"/>
      <c r="S146" s="381"/>
      <c r="T146" s="381"/>
      <c r="U146" s="381"/>
      <c r="V146" s="381"/>
      <c r="W146" s="381"/>
      <c r="X146" s="381"/>
    </row>
    <row r="147" spans="1:24" s="368" customFormat="1" hidden="1" x14ac:dyDescent="0.2">
      <c r="A147" s="278"/>
      <c r="B147" s="379"/>
      <c r="C147" s="380"/>
      <c r="D147" s="380"/>
      <c r="E147" s="502" t="s">
        <v>686</v>
      </c>
      <c r="F147" s="502"/>
      <c r="G147" s="502"/>
      <c r="H147" s="381"/>
      <c r="I147" s="381"/>
      <c r="J147" s="381"/>
      <c r="K147" s="381"/>
      <c r="L147" s="381"/>
      <c r="M147" s="381"/>
      <c r="N147" s="381"/>
      <c r="O147" s="381"/>
      <c r="P147" s="381"/>
      <c r="Q147" s="381"/>
      <c r="R147" s="381"/>
      <c r="S147" s="381"/>
      <c r="T147" s="381"/>
      <c r="U147" s="381"/>
      <c r="V147" s="381"/>
      <c r="W147" s="381"/>
      <c r="X147" s="381"/>
    </row>
    <row r="148" spans="1:24" s="368" customFormat="1" x14ac:dyDescent="0.2">
      <c r="A148" s="276"/>
      <c r="B148" s="483" t="s">
        <v>856</v>
      </c>
      <c r="C148" s="484"/>
      <c r="D148" s="485"/>
      <c r="E148" s="390">
        <f>E121</f>
        <v>65107748</v>
      </c>
      <c r="F148" s="124"/>
      <c r="G148" s="124"/>
      <c r="H148" s="381"/>
      <c r="I148" s="381"/>
      <c r="J148" s="381"/>
      <c r="K148" s="381"/>
      <c r="L148" s="381"/>
      <c r="M148" s="381"/>
      <c r="N148" s="381"/>
      <c r="O148" s="381"/>
      <c r="P148" s="381"/>
      <c r="Q148" s="381"/>
      <c r="R148" s="381"/>
      <c r="S148" s="381"/>
      <c r="T148" s="381"/>
      <c r="U148" s="381"/>
      <c r="V148" s="381"/>
      <c r="W148" s="381"/>
      <c r="X148" s="381"/>
    </row>
    <row r="149" spans="1:24" x14ac:dyDescent="0.2">
      <c r="M149" s="408"/>
      <c r="N149" s="408"/>
      <c r="O149" s="408"/>
      <c r="P149" s="362"/>
      <c r="Q149" s="362"/>
      <c r="R149" s="362"/>
      <c r="S149" s="362"/>
      <c r="T149" s="362"/>
      <c r="U149" s="362"/>
      <c r="V149" s="362"/>
      <c r="W149" s="362"/>
    </row>
    <row r="150" spans="1:24" x14ac:dyDescent="0.2">
      <c r="M150" s="408"/>
      <c r="N150" s="408"/>
      <c r="O150" s="408"/>
      <c r="P150" s="362"/>
      <c r="Q150" s="362"/>
      <c r="R150" s="362"/>
      <c r="S150" s="362"/>
      <c r="T150" s="362"/>
      <c r="U150" s="362"/>
      <c r="V150" s="362"/>
      <c r="W150" s="362"/>
    </row>
    <row r="151" spans="1:24" x14ac:dyDescent="0.2">
      <c r="M151" s="408"/>
      <c r="N151" s="408"/>
      <c r="O151" s="408"/>
      <c r="P151" s="362"/>
      <c r="Q151" s="362"/>
      <c r="R151" s="362"/>
      <c r="S151" s="362"/>
      <c r="T151" s="362"/>
      <c r="U151" s="362"/>
      <c r="V151" s="362"/>
      <c r="W151" s="362"/>
    </row>
    <row r="152" spans="1:24" s="433" customFormat="1" x14ac:dyDescent="0.2">
      <c r="A152" s="123"/>
      <c r="B152" s="121"/>
      <c r="C152" s="264" t="s">
        <v>299</v>
      </c>
      <c r="D152" s="264"/>
      <c r="E152" s="122"/>
      <c r="F152" s="123"/>
      <c r="G152" s="123"/>
      <c r="H152" s="122"/>
      <c r="I152" s="122"/>
      <c r="J152" s="122"/>
      <c r="K152" s="122"/>
      <c r="L152" s="122"/>
      <c r="M152" s="122"/>
      <c r="N152" s="122"/>
      <c r="O152" s="122"/>
      <c r="P152" s="123"/>
      <c r="Q152" s="123"/>
      <c r="R152" s="123"/>
      <c r="S152" s="123"/>
      <c r="T152" s="123"/>
      <c r="U152" s="123"/>
      <c r="V152" s="123"/>
      <c r="W152" s="123"/>
      <c r="X152" s="123"/>
    </row>
    <row r="153" spans="1:24" s="433" customFormat="1" x14ac:dyDescent="0.2">
      <c r="A153" s="352"/>
      <c r="B153" s="503" t="s">
        <v>854</v>
      </c>
      <c r="C153" s="503"/>
      <c r="D153" s="503"/>
      <c r="E153" s="503"/>
      <c r="F153" s="503"/>
      <c r="G153" s="503"/>
      <c r="H153" s="354">
        <f t="shared" ref="H153:X153" si="16">H115+H142</f>
        <v>5718434.6900000004</v>
      </c>
      <c r="I153" s="354">
        <f t="shared" si="16"/>
        <v>5000447.8599999994</v>
      </c>
      <c r="J153" s="354">
        <f t="shared" si="16"/>
        <v>4908239.18</v>
      </c>
      <c r="K153" s="354">
        <f t="shared" si="16"/>
        <v>4839795.84</v>
      </c>
      <c r="L153" s="354">
        <f t="shared" si="16"/>
        <v>4902699.84</v>
      </c>
      <c r="M153" s="354">
        <f t="shared" si="16"/>
        <v>4907395.84</v>
      </c>
      <c r="N153" s="354">
        <f t="shared" si="16"/>
        <v>3718410.84</v>
      </c>
      <c r="O153" s="354">
        <f t="shared" si="16"/>
        <v>3406687.84</v>
      </c>
      <c r="P153" s="354">
        <f t="shared" si="16"/>
        <v>3400847.84</v>
      </c>
      <c r="Q153" s="354">
        <f t="shared" si="16"/>
        <v>3574839.39</v>
      </c>
      <c r="R153" s="354">
        <f t="shared" si="16"/>
        <v>3453612</v>
      </c>
      <c r="S153" s="354">
        <f t="shared" si="16"/>
        <v>3453612</v>
      </c>
      <c r="T153" s="354">
        <f t="shared" si="16"/>
        <v>3431560</v>
      </c>
      <c r="U153" s="354">
        <f t="shared" si="16"/>
        <v>2975160</v>
      </c>
      <c r="V153" s="354">
        <f t="shared" si="16"/>
        <v>2656106.7599999998</v>
      </c>
      <c r="W153" s="354">
        <f t="shared" si="16"/>
        <v>28453363.109999999</v>
      </c>
      <c r="X153" s="354">
        <f t="shared" si="16"/>
        <v>88801213.030000001</v>
      </c>
    </row>
    <row r="154" spans="1:24" s="433" customFormat="1" ht="13.5" thickBot="1" x14ac:dyDescent="0.25">
      <c r="A154" s="389"/>
      <c r="B154" s="504" t="s">
        <v>462</v>
      </c>
      <c r="C154" s="504"/>
      <c r="D154" s="504"/>
      <c r="E154" s="504"/>
      <c r="F154" s="504"/>
      <c r="G154" s="504"/>
      <c r="H154" s="396">
        <f t="shared" ref="H154:X154" si="17">H116+H143</f>
        <v>388180</v>
      </c>
      <c r="I154" s="396">
        <f t="shared" si="17"/>
        <v>485825</v>
      </c>
      <c r="J154" s="396">
        <f t="shared" si="17"/>
        <v>459935</v>
      </c>
      <c r="K154" s="396">
        <f t="shared" si="17"/>
        <v>434155</v>
      </c>
      <c r="L154" s="396">
        <f t="shared" si="17"/>
        <v>406115</v>
      </c>
      <c r="M154" s="396">
        <f t="shared" si="17"/>
        <v>379020</v>
      </c>
      <c r="N154" s="396">
        <f t="shared" si="17"/>
        <v>353135</v>
      </c>
      <c r="O154" s="396">
        <f t="shared" si="17"/>
        <v>332785</v>
      </c>
      <c r="P154" s="396">
        <f t="shared" si="17"/>
        <v>311960</v>
      </c>
      <c r="Q154" s="396">
        <f t="shared" si="17"/>
        <v>292010</v>
      </c>
      <c r="R154" s="396">
        <f t="shared" si="17"/>
        <v>271485</v>
      </c>
      <c r="S154" s="396">
        <f t="shared" si="17"/>
        <v>252055</v>
      </c>
      <c r="T154" s="396">
        <f t="shared" si="17"/>
        <v>231310</v>
      </c>
      <c r="U154" s="396">
        <f t="shared" si="17"/>
        <v>211820</v>
      </c>
      <c r="V154" s="396">
        <f t="shared" si="17"/>
        <v>194340</v>
      </c>
      <c r="W154" s="396">
        <f t="shared" si="17"/>
        <v>1220390</v>
      </c>
      <c r="X154" s="396">
        <f t="shared" si="17"/>
        <v>6224520</v>
      </c>
    </row>
    <row r="155" spans="1:24" s="433" customFormat="1" ht="13.5" thickTop="1" x14ac:dyDescent="0.2">
      <c r="A155" s="399"/>
      <c r="B155" s="481" t="s">
        <v>858</v>
      </c>
      <c r="C155" s="481"/>
      <c r="D155" s="481"/>
      <c r="E155" s="481"/>
      <c r="F155" s="481"/>
      <c r="G155" s="481"/>
      <c r="H155" s="394">
        <f>SUM(H153:H154)</f>
        <v>6106614.6900000004</v>
      </c>
      <c r="I155" s="394">
        <f t="shared" ref="I155:X155" si="18">SUM(I153:I154)</f>
        <v>5486272.8599999994</v>
      </c>
      <c r="J155" s="394">
        <f t="shared" si="18"/>
        <v>5368174.18</v>
      </c>
      <c r="K155" s="394">
        <f t="shared" si="18"/>
        <v>5273950.84</v>
      </c>
      <c r="L155" s="394">
        <f t="shared" si="18"/>
        <v>5308814.84</v>
      </c>
      <c r="M155" s="394">
        <f t="shared" si="18"/>
        <v>5286415.84</v>
      </c>
      <c r="N155" s="394">
        <f t="shared" si="18"/>
        <v>4071545.84</v>
      </c>
      <c r="O155" s="394">
        <f t="shared" si="18"/>
        <v>3739472.84</v>
      </c>
      <c r="P155" s="394">
        <f t="shared" si="18"/>
        <v>3712807.84</v>
      </c>
      <c r="Q155" s="394">
        <f t="shared" si="18"/>
        <v>3866849.39</v>
      </c>
      <c r="R155" s="394">
        <f t="shared" si="18"/>
        <v>3725097</v>
      </c>
      <c r="S155" s="394">
        <f t="shared" si="18"/>
        <v>3705667</v>
      </c>
      <c r="T155" s="394">
        <f t="shared" si="18"/>
        <v>3662870</v>
      </c>
      <c r="U155" s="394">
        <f t="shared" si="18"/>
        <v>3186980</v>
      </c>
      <c r="V155" s="394">
        <f t="shared" si="18"/>
        <v>2850446.76</v>
      </c>
      <c r="W155" s="394">
        <f t="shared" si="18"/>
        <v>29673753.109999999</v>
      </c>
      <c r="X155" s="394">
        <f t="shared" si="18"/>
        <v>95025733.030000001</v>
      </c>
    </row>
    <row r="156" spans="1:24" s="433" customFormat="1" x14ac:dyDescent="0.2">
      <c r="A156" s="276"/>
      <c r="B156" s="482" t="s">
        <v>464</v>
      </c>
      <c r="C156" s="482"/>
      <c r="D156" s="482"/>
      <c r="E156" s="482"/>
      <c r="F156" s="482"/>
      <c r="G156" s="277" t="s">
        <v>465</v>
      </c>
      <c r="H156" s="356">
        <f t="shared" ref="H156:W156" si="19">SUM(H155/$E$148)</f>
        <v>9.3792442183686042E-2</v>
      </c>
      <c r="I156" s="356">
        <f t="shared" si="19"/>
        <v>8.4264515799256326E-2</v>
      </c>
      <c r="J156" s="356">
        <f t="shared" si="19"/>
        <v>8.245061985556619E-2</v>
      </c>
      <c r="K156" s="356">
        <f t="shared" si="19"/>
        <v>8.1003428962095267E-2</v>
      </c>
      <c r="L156" s="356">
        <f t="shared" si="19"/>
        <v>8.1538910545638901E-2</v>
      </c>
      <c r="M156" s="356">
        <f t="shared" si="19"/>
        <v>8.1194880830465832E-2</v>
      </c>
      <c r="N156" s="356">
        <f t="shared" si="19"/>
        <v>6.2535504069346701E-2</v>
      </c>
      <c r="O156" s="356">
        <f t="shared" si="19"/>
        <v>5.7435143356517261E-2</v>
      </c>
      <c r="P156" s="355">
        <f t="shared" si="19"/>
        <v>5.7025591485670796E-2</v>
      </c>
      <c r="Q156" s="355">
        <f t="shared" si="19"/>
        <v>5.9391539544571562E-2</v>
      </c>
      <c r="R156" s="355">
        <f t="shared" si="19"/>
        <v>5.7214342600207892E-2</v>
      </c>
      <c r="S156" s="355">
        <f t="shared" si="19"/>
        <v>5.6915914216538403E-2</v>
      </c>
      <c r="T156" s="355">
        <f t="shared" si="19"/>
        <v>5.6258588455555245E-2</v>
      </c>
      <c r="U156" s="355">
        <f t="shared" si="19"/>
        <v>4.8949320133142987E-2</v>
      </c>
      <c r="V156" s="355">
        <f t="shared" si="19"/>
        <v>4.3780453902352752E-2</v>
      </c>
      <c r="W156" s="355">
        <f t="shared" si="19"/>
        <v>0.45576377653240285</v>
      </c>
      <c r="X156" s="355"/>
    </row>
    <row r="157" spans="1:24" s="433" customFormat="1" x14ac:dyDescent="0.2">
      <c r="A157" s="276"/>
      <c r="B157" s="482" t="s">
        <v>685</v>
      </c>
      <c r="C157" s="482"/>
      <c r="D157" s="482"/>
      <c r="E157" s="482"/>
      <c r="F157" s="482"/>
      <c r="G157" s="277" t="s">
        <v>465</v>
      </c>
      <c r="H157" s="445">
        <f t="shared" ref="H157:W157" si="20">SUM((H155-H122-H146)/$E$148)</f>
        <v>9.2476331849167939E-2</v>
      </c>
      <c r="I157" s="445">
        <f t="shared" si="20"/>
        <v>8.4264515799256326E-2</v>
      </c>
      <c r="J157" s="445">
        <f t="shared" si="20"/>
        <v>8.245061985556619E-2</v>
      </c>
      <c r="K157" s="445">
        <f t="shared" si="20"/>
        <v>8.1003428962095267E-2</v>
      </c>
      <c r="L157" s="445">
        <f t="shared" si="20"/>
        <v>8.1538910545638901E-2</v>
      </c>
      <c r="M157" s="445">
        <f t="shared" si="20"/>
        <v>8.1194880830465832E-2</v>
      </c>
      <c r="N157" s="445">
        <f t="shared" si="20"/>
        <v>6.2535504069346701E-2</v>
      </c>
      <c r="O157" s="445">
        <f t="shared" si="20"/>
        <v>5.7435143356517261E-2</v>
      </c>
      <c r="P157" s="445">
        <f t="shared" si="20"/>
        <v>5.7025591485670796E-2</v>
      </c>
      <c r="Q157" s="445">
        <f t="shared" si="20"/>
        <v>5.9391539544571562E-2</v>
      </c>
      <c r="R157" s="445">
        <f t="shared" si="20"/>
        <v>5.7214342600207892E-2</v>
      </c>
      <c r="S157" s="445">
        <f t="shared" si="20"/>
        <v>5.6915914216538403E-2</v>
      </c>
      <c r="T157" s="445">
        <f t="shared" si="20"/>
        <v>5.6258588455555245E-2</v>
      </c>
      <c r="U157" s="445">
        <f t="shared" si="20"/>
        <v>4.8949320133142987E-2</v>
      </c>
      <c r="V157" s="445">
        <f t="shared" si="20"/>
        <v>4.3780453902352752E-2</v>
      </c>
      <c r="W157" s="445">
        <f t="shared" si="20"/>
        <v>0.45576377653240285</v>
      </c>
      <c r="X157" s="446"/>
    </row>
    <row r="158" spans="1:24" s="433" customFormat="1" x14ac:dyDescent="0.2">
      <c r="A158" s="123"/>
      <c r="B158" s="121"/>
      <c r="C158" s="122"/>
      <c r="D158" s="122"/>
      <c r="E158" s="122"/>
      <c r="F158" s="123"/>
      <c r="G158" s="123"/>
      <c r="H158" s="122"/>
      <c r="I158" s="122"/>
      <c r="J158" s="122"/>
      <c r="K158" s="122"/>
      <c r="L158" s="122"/>
      <c r="M158" s="122"/>
      <c r="N158" s="122"/>
      <c r="O158" s="122"/>
      <c r="P158" s="123"/>
      <c r="Q158" s="123"/>
      <c r="R158" s="123"/>
      <c r="S158" s="382"/>
      <c r="T158" s="382"/>
      <c r="U158" s="382"/>
      <c r="V158" s="382"/>
      <c r="W158" s="382"/>
      <c r="X158" s="434"/>
    </row>
    <row r="159" spans="1:24" s="387" customFormat="1" ht="15.75" x14ac:dyDescent="0.25">
      <c r="A159" s="384"/>
      <c r="B159" s="385"/>
      <c r="C159" s="386"/>
      <c r="D159" s="386"/>
      <c r="E159" s="386"/>
      <c r="F159" s="384"/>
      <c r="G159" s="384"/>
      <c r="H159" s="386"/>
      <c r="I159" s="386"/>
      <c r="J159" s="386"/>
      <c r="K159" s="413"/>
      <c r="L159" s="413"/>
      <c r="M159" s="413"/>
      <c r="V159" s="126"/>
      <c r="W159" s="126"/>
      <c r="X159" s="388"/>
    </row>
    <row r="160" spans="1:24" s="368" customFormat="1" x14ac:dyDescent="0.2">
      <c r="A160" s="95"/>
      <c r="B160" s="59"/>
      <c r="C160" s="99"/>
      <c r="D160" s="99"/>
      <c r="E160" s="99"/>
      <c r="F160" s="95"/>
      <c r="G160" s="95"/>
      <c r="H160" s="99"/>
      <c r="I160" s="99"/>
      <c r="J160" s="99"/>
      <c r="K160" s="99"/>
      <c r="L160" s="99"/>
      <c r="M160" s="99"/>
      <c r="N160" s="99"/>
      <c r="O160" s="99"/>
      <c r="P160" s="95"/>
      <c r="Q160" s="95"/>
      <c r="R160" s="95"/>
      <c r="S160" s="95"/>
      <c r="T160" s="95"/>
      <c r="U160" s="95"/>
      <c r="V160" s="95"/>
      <c r="W160" s="95"/>
      <c r="X160" s="95"/>
    </row>
    <row r="161" spans="1:24" s="368" customFormat="1" ht="15.75" x14ac:dyDescent="0.25">
      <c r="A161" s="95"/>
      <c r="B161" s="59"/>
      <c r="C161" s="99"/>
      <c r="D161" s="99"/>
      <c r="E161" s="99"/>
      <c r="F161" s="95"/>
      <c r="G161" s="95"/>
      <c r="H161" s="99"/>
      <c r="I161" s="421"/>
      <c r="J161" s="421"/>
      <c r="K161" s="421"/>
      <c r="L161" s="99"/>
      <c r="M161" s="99"/>
      <c r="N161" s="420" t="s">
        <v>25</v>
      </c>
      <c r="O161" s="386"/>
      <c r="P161" s="384"/>
      <c r="Q161" s="384"/>
      <c r="R161" s="384"/>
      <c r="S161" s="384"/>
      <c r="T161" s="384"/>
      <c r="U161" s="152" t="s">
        <v>78</v>
      </c>
      <c r="V161" s="124"/>
      <c r="W161" s="124"/>
      <c r="X161" s="95"/>
    </row>
    <row r="162" spans="1:24" s="368" customFormat="1" x14ac:dyDescent="0.2">
      <c r="A162" s="95"/>
      <c r="B162" s="59"/>
      <c r="C162" s="99"/>
      <c r="D162" s="99"/>
      <c r="E162" s="99"/>
      <c r="F162" s="95"/>
      <c r="G162" s="95"/>
      <c r="H162" s="363"/>
      <c r="I162" s="422"/>
      <c r="J162" s="414"/>
      <c r="K162" s="414"/>
      <c r="L162" s="414"/>
      <c r="M162" s="414"/>
      <c r="N162" s="414"/>
      <c r="O162" s="414"/>
      <c r="P162" s="383"/>
      <c r="Q162" s="383"/>
      <c r="R162" s="383"/>
      <c r="S162" s="296"/>
      <c r="T162" s="296"/>
      <c r="U162" s="296"/>
      <c r="V162" s="296"/>
      <c r="W162" s="296"/>
      <c r="X162" s="95"/>
    </row>
    <row r="163" spans="1:24" s="368" customFormat="1" x14ac:dyDescent="0.2">
      <c r="A163" s="95"/>
      <c r="B163" s="59"/>
      <c r="C163" s="123"/>
      <c r="D163" s="123"/>
      <c r="E163" s="123"/>
      <c r="F163" s="123"/>
      <c r="G163" s="296"/>
      <c r="H163" s="99"/>
      <c r="I163" s="122"/>
      <c r="J163" s="415"/>
      <c r="K163" s="415"/>
      <c r="L163" s="415"/>
      <c r="M163" s="415"/>
      <c r="N163" s="415"/>
      <c r="O163" s="415"/>
      <c r="P163" s="296"/>
      <c r="Q163" s="296"/>
      <c r="R163" s="296"/>
      <c r="S163" s="95"/>
      <c r="T163" s="95"/>
      <c r="U163" s="95"/>
      <c r="V163" s="95"/>
      <c r="W163" s="95"/>
      <c r="X163" s="95"/>
    </row>
    <row r="164" spans="1:24" s="368" customFormat="1" x14ac:dyDescent="0.2">
      <c r="A164" s="95"/>
      <c r="B164" s="123"/>
      <c r="C164" s="123"/>
      <c r="D164" s="123"/>
      <c r="E164" s="123"/>
      <c r="F164" s="123"/>
      <c r="G164" s="296"/>
      <c r="H164" s="423"/>
      <c r="I164" s="99"/>
      <c r="J164" s="99"/>
      <c r="K164" s="99"/>
      <c r="L164" s="99"/>
      <c r="M164" s="99"/>
      <c r="N164" s="99"/>
      <c r="O164" s="99"/>
      <c r="P164" s="95"/>
      <c r="Q164" s="95"/>
      <c r="R164" s="95"/>
      <c r="S164" s="95"/>
      <c r="T164" s="95"/>
      <c r="U164" s="95"/>
      <c r="V164" s="95"/>
      <c r="W164" s="95"/>
      <c r="X164" s="95"/>
    </row>
    <row r="165" spans="1:24" x14ac:dyDescent="0.2">
      <c r="B165" s="123"/>
      <c r="C165" s="123"/>
      <c r="D165" s="123"/>
      <c r="E165" s="123"/>
      <c r="F165" s="123"/>
      <c r="G165" s="296"/>
    </row>
    <row r="166" spans="1:24" x14ac:dyDescent="0.2">
      <c r="B166" s="123"/>
      <c r="C166" s="123"/>
      <c r="D166" s="123"/>
      <c r="E166" s="123"/>
      <c r="F166" s="123"/>
      <c r="G166" s="296"/>
    </row>
    <row r="167" spans="1:24" x14ac:dyDescent="0.2">
      <c r="C167" s="123"/>
      <c r="D167" s="123"/>
      <c r="E167" s="123"/>
      <c r="F167" s="123"/>
      <c r="G167" s="296"/>
    </row>
    <row r="168" spans="1:24" x14ac:dyDescent="0.2">
      <c r="C168" s="123"/>
      <c r="D168" s="123"/>
      <c r="E168" s="123"/>
      <c r="F168" s="123"/>
      <c r="G168" s="296"/>
    </row>
  </sheetData>
  <mergeCells count="319">
    <mergeCell ref="A3:G3"/>
    <mergeCell ref="A5:A6"/>
    <mergeCell ref="B5:B6"/>
    <mergeCell ref="C5:C6"/>
    <mergeCell ref="A7:A8"/>
    <mergeCell ref="C7:C8"/>
    <mergeCell ref="D7:D8"/>
    <mergeCell ref="E7:E8"/>
    <mergeCell ref="F7:F8"/>
    <mergeCell ref="D5:D6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61:A62"/>
    <mergeCell ref="C61:C62"/>
    <mergeCell ref="D61:D62"/>
    <mergeCell ref="E61:E62"/>
    <mergeCell ref="F61:F62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A97:A98"/>
    <mergeCell ref="C97:C98"/>
    <mergeCell ref="D97:D98"/>
    <mergeCell ref="E97:E98"/>
    <mergeCell ref="F97:F98"/>
    <mergeCell ref="A99:A100"/>
    <mergeCell ref="C99:C100"/>
    <mergeCell ref="D99:D100"/>
    <mergeCell ref="E99:E100"/>
    <mergeCell ref="F99:F100"/>
    <mergeCell ref="A101:A102"/>
    <mergeCell ref="C101:C102"/>
    <mergeCell ref="D101:D102"/>
    <mergeCell ref="E101:E102"/>
    <mergeCell ref="F101:F102"/>
    <mergeCell ref="A103:A104"/>
    <mergeCell ref="C103:C104"/>
    <mergeCell ref="D103:D104"/>
    <mergeCell ref="E103:E104"/>
    <mergeCell ref="F103:F104"/>
    <mergeCell ref="A105:A106"/>
    <mergeCell ref="C105:C106"/>
    <mergeCell ref="D105:D106"/>
    <mergeCell ref="E105:E106"/>
    <mergeCell ref="F105:F106"/>
    <mergeCell ref="A107:A108"/>
    <mergeCell ref="C107:C108"/>
    <mergeCell ref="D107:D108"/>
    <mergeCell ref="E107:E108"/>
    <mergeCell ref="F107:F108"/>
    <mergeCell ref="A113:A114"/>
    <mergeCell ref="C113:C114"/>
    <mergeCell ref="D113:D114"/>
    <mergeCell ref="E113:E114"/>
    <mergeCell ref="F113:F114"/>
    <mergeCell ref="A109:A110"/>
    <mergeCell ref="C109:C110"/>
    <mergeCell ref="D109:D110"/>
    <mergeCell ref="E109:E110"/>
    <mergeCell ref="F109:F110"/>
    <mergeCell ref="A111:A112"/>
    <mergeCell ref="C111:C112"/>
    <mergeCell ref="D111:D112"/>
    <mergeCell ref="E111:E112"/>
    <mergeCell ref="F111:F112"/>
    <mergeCell ref="A132:A133"/>
    <mergeCell ref="C132:C133"/>
    <mergeCell ref="E132:E133"/>
    <mergeCell ref="F132:F133"/>
    <mergeCell ref="E123:G123"/>
    <mergeCell ref="E124:G124"/>
    <mergeCell ref="B119:F119"/>
    <mergeCell ref="B120:D120"/>
    <mergeCell ref="B121:D121"/>
    <mergeCell ref="A138:A139"/>
    <mergeCell ref="C138:C139"/>
    <mergeCell ref="E138:E139"/>
    <mergeCell ref="F138:F139"/>
    <mergeCell ref="A140:A141"/>
    <mergeCell ref="C140:C141"/>
    <mergeCell ref="E140:E141"/>
    <mergeCell ref="F140:F141"/>
    <mergeCell ref="A134:A135"/>
    <mergeCell ref="C134:C135"/>
    <mergeCell ref="E134:E135"/>
    <mergeCell ref="F134:F135"/>
    <mergeCell ref="A136:A137"/>
    <mergeCell ref="C136:C137"/>
    <mergeCell ref="E136:E137"/>
    <mergeCell ref="F136:F137"/>
    <mergeCell ref="B155:G155"/>
    <mergeCell ref="B156:F156"/>
    <mergeCell ref="B157:F157"/>
    <mergeCell ref="B145:D145"/>
    <mergeCell ref="B148:D148"/>
    <mergeCell ref="B115:G115"/>
    <mergeCell ref="B116:G116"/>
    <mergeCell ref="B117:G117"/>
    <mergeCell ref="B142:G142"/>
    <mergeCell ref="B143:G143"/>
    <mergeCell ref="B144:G144"/>
    <mergeCell ref="E122:G122"/>
    <mergeCell ref="B118:F118"/>
    <mergeCell ref="E146:G146"/>
    <mergeCell ref="E147:G147"/>
    <mergeCell ref="B153:G153"/>
    <mergeCell ref="B154:G154"/>
    <mergeCell ref="C126:G126"/>
    <mergeCell ref="C127:G127"/>
  </mergeCells>
  <pageMargins left="0.39370078740157483" right="0.39370078740157483" top="0.78740157480314965" bottom="0.39370078740157483" header="0.19685039370078741" footer="0.19685039370078741"/>
  <pageSetup paperSize="9" scale="84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3"/>
  <sheetViews>
    <sheetView zoomScale="90" zoomScaleNormal="90" workbookViewId="0">
      <selection activeCell="H4" sqref="H4"/>
    </sheetView>
  </sheetViews>
  <sheetFormatPr defaultRowHeight="12.75" x14ac:dyDescent="0.2"/>
  <cols>
    <col min="1" max="1" width="10" style="133" customWidth="1"/>
    <col min="2" max="2" width="42.5703125" style="18" customWidth="1"/>
    <col min="3" max="3" width="12.5703125" style="133" customWidth="1"/>
    <col min="4" max="4" width="14.140625" style="133" customWidth="1"/>
    <col min="5" max="5" width="12.7109375" style="133" customWidth="1"/>
    <col min="6" max="6" width="9.140625" style="17" customWidth="1"/>
    <col min="7" max="16384" width="9.140625" style="17"/>
  </cols>
  <sheetData>
    <row r="1" spans="1:13" x14ac:dyDescent="0.2">
      <c r="A1" s="132"/>
      <c r="E1" s="135" t="s">
        <v>350</v>
      </c>
    </row>
    <row r="2" spans="1:13" ht="15" x14ac:dyDescent="0.2">
      <c r="E2" s="170" t="s">
        <v>866</v>
      </c>
    </row>
    <row r="3" spans="1:13" ht="15" x14ac:dyDescent="0.2">
      <c r="E3" s="170" t="s">
        <v>868</v>
      </c>
      <c r="J3" s="127"/>
      <c r="K3" s="127"/>
      <c r="L3" s="127"/>
      <c r="M3" s="127"/>
    </row>
    <row r="4" spans="1:13" ht="15" x14ac:dyDescent="0.2">
      <c r="E4" s="175"/>
      <c r="J4" s="127"/>
      <c r="K4" s="127"/>
      <c r="L4" s="127"/>
      <c r="M4" s="127"/>
    </row>
    <row r="5" spans="1:13" ht="55.5" customHeight="1" x14ac:dyDescent="0.2">
      <c r="A5" s="578" t="s">
        <v>742</v>
      </c>
      <c r="B5" s="578"/>
      <c r="C5" s="578"/>
      <c r="D5" s="578"/>
      <c r="E5" s="578"/>
    </row>
    <row r="6" spans="1:13" ht="18.75" x14ac:dyDescent="0.2">
      <c r="A6" s="203"/>
      <c r="B6" s="203"/>
      <c r="C6" s="203"/>
      <c r="D6" s="203"/>
      <c r="E6" s="203"/>
    </row>
    <row r="7" spans="1:13" ht="15.75" x14ac:dyDescent="0.25">
      <c r="A7" s="582" t="s">
        <v>743</v>
      </c>
      <c r="B7" s="582"/>
      <c r="C7" s="582"/>
      <c r="D7" s="582"/>
      <c r="E7" s="582"/>
    </row>
    <row r="8" spans="1:13" s="18" customFormat="1" ht="25.5" x14ac:dyDescent="0.2">
      <c r="A8" s="174" t="s">
        <v>346</v>
      </c>
      <c r="B8" s="579" t="s">
        <v>300</v>
      </c>
      <c r="C8" s="579"/>
      <c r="D8" s="579"/>
      <c r="E8" s="174" t="s">
        <v>744</v>
      </c>
    </row>
    <row r="9" spans="1:13" ht="19.5" customHeight="1" x14ac:dyDescent="0.2">
      <c r="A9" s="142" t="s">
        <v>693</v>
      </c>
      <c r="B9" s="580" t="s">
        <v>290</v>
      </c>
      <c r="C9" s="580"/>
      <c r="D9" s="580"/>
      <c r="E9" s="208">
        <v>352935</v>
      </c>
    </row>
    <row r="10" spans="1:13" ht="15.75" x14ac:dyDescent="0.25">
      <c r="A10" s="140"/>
      <c r="B10" s="581" t="s">
        <v>347</v>
      </c>
      <c r="C10" s="581"/>
      <c r="D10" s="581"/>
      <c r="E10" s="209">
        <f>SUM(E9:E9)</f>
        <v>352935</v>
      </c>
    </row>
    <row r="11" spans="1:13" ht="15.75" x14ac:dyDescent="0.25">
      <c r="A11" s="204"/>
      <c r="B11" s="205"/>
      <c r="C11" s="206"/>
      <c r="D11" s="206"/>
      <c r="E11" s="207"/>
    </row>
    <row r="12" spans="1:13" s="130" customFormat="1" ht="15.75" x14ac:dyDescent="0.25">
      <c r="A12" s="134"/>
      <c r="B12" s="131"/>
      <c r="C12" s="134"/>
      <c r="D12" s="134"/>
      <c r="E12" s="134"/>
    </row>
    <row r="13" spans="1:13" ht="15.75" x14ac:dyDescent="0.25">
      <c r="A13" s="582" t="s">
        <v>745</v>
      </c>
      <c r="B13" s="582"/>
      <c r="C13" s="582"/>
      <c r="D13" s="582"/>
      <c r="E13" s="582"/>
    </row>
    <row r="14" spans="1:13" s="18" customFormat="1" ht="15" customHeight="1" x14ac:dyDescent="0.2">
      <c r="A14" s="579" t="s">
        <v>694</v>
      </c>
      <c r="B14" s="579" t="s">
        <v>300</v>
      </c>
      <c r="C14" s="579" t="s">
        <v>51</v>
      </c>
      <c r="D14" s="579"/>
      <c r="E14" s="579" t="s">
        <v>747</v>
      </c>
    </row>
    <row r="15" spans="1:13" ht="40.5" x14ac:dyDescent="0.2">
      <c r="A15" s="579"/>
      <c r="B15" s="579"/>
      <c r="C15" s="94" t="s">
        <v>601</v>
      </c>
      <c r="D15" s="19" t="s">
        <v>746</v>
      </c>
      <c r="E15" s="579"/>
    </row>
    <row r="16" spans="1:13" ht="14.25" x14ac:dyDescent="0.2">
      <c r="A16" s="138" t="s">
        <v>29</v>
      </c>
      <c r="B16" s="138" t="s">
        <v>9</v>
      </c>
      <c r="C16" s="247">
        <f>C17</f>
        <v>0</v>
      </c>
      <c r="D16" s="247">
        <f>D17</f>
        <v>330601</v>
      </c>
      <c r="E16" s="248">
        <f>C16+D16</f>
        <v>330601</v>
      </c>
    </row>
    <row r="17" spans="1:5" ht="15" x14ac:dyDescent="0.2">
      <c r="A17" s="68" t="s">
        <v>178</v>
      </c>
      <c r="B17" s="85" t="s">
        <v>180</v>
      </c>
      <c r="C17" s="249">
        <v>0</v>
      </c>
      <c r="D17" s="249">
        <v>330601</v>
      </c>
      <c r="E17" s="250">
        <f t="shared" ref="E17:E28" si="0">C17+D17</f>
        <v>330601</v>
      </c>
    </row>
    <row r="18" spans="1:5" ht="14.25" x14ac:dyDescent="0.2">
      <c r="A18" s="139" t="s">
        <v>34</v>
      </c>
      <c r="B18" s="138" t="s">
        <v>14</v>
      </c>
      <c r="C18" s="247">
        <f>C19+C21</f>
        <v>0</v>
      </c>
      <c r="D18" s="247">
        <f>D19+D21+D20</f>
        <v>12364</v>
      </c>
      <c r="E18" s="248">
        <f>C18+D18</f>
        <v>12364</v>
      </c>
    </row>
    <row r="19" spans="1:5" ht="30" x14ac:dyDescent="0.2">
      <c r="A19" s="70" t="s">
        <v>73</v>
      </c>
      <c r="B19" s="86" t="s">
        <v>371</v>
      </c>
      <c r="C19" s="249">
        <v>0</v>
      </c>
      <c r="D19" s="249">
        <v>125</v>
      </c>
      <c r="E19" s="250">
        <f t="shared" si="0"/>
        <v>125</v>
      </c>
    </row>
    <row r="20" spans="1:5" ht="35.25" customHeight="1" x14ac:dyDescent="0.2">
      <c r="A20" s="70" t="s">
        <v>93</v>
      </c>
      <c r="B20" s="86" t="s">
        <v>723</v>
      </c>
      <c r="C20" s="249">
        <v>0</v>
      </c>
      <c r="D20" s="249">
        <v>1589</v>
      </c>
      <c r="E20" s="250">
        <f t="shared" si="0"/>
        <v>1589</v>
      </c>
    </row>
    <row r="21" spans="1:5" ht="15" x14ac:dyDescent="0.2">
      <c r="A21" s="70" t="s">
        <v>189</v>
      </c>
      <c r="B21" s="86" t="s">
        <v>374</v>
      </c>
      <c r="C21" s="249">
        <v>0</v>
      </c>
      <c r="D21" s="249">
        <v>10650</v>
      </c>
      <c r="E21" s="250">
        <f t="shared" si="0"/>
        <v>10650</v>
      </c>
    </row>
    <row r="22" spans="1:5" ht="14.25" x14ac:dyDescent="0.2">
      <c r="A22" s="139" t="s">
        <v>35</v>
      </c>
      <c r="B22" s="138" t="s">
        <v>15</v>
      </c>
      <c r="C22" s="247">
        <f>C23+C25+C24</f>
        <v>0</v>
      </c>
      <c r="D22" s="247">
        <f>D23+D25+D24</f>
        <v>3877</v>
      </c>
      <c r="E22" s="248">
        <f t="shared" si="0"/>
        <v>3877</v>
      </c>
    </row>
    <row r="23" spans="1:5" ht="30" x14ac:dyDescent="0.2">
      <c r="A23" s="70" t="s">
        <v>257</v>
      </c>
      <c r="B23" s="86" t="s">
        <v>692</v>
      </c>
      <c r="C23" s="249">
        <v>0</v>
      </c>
      <c r="D23" s="249">
        <v>1889</v>
      </c>
      <c r="E23" s="250">
        <f t="shared" si="0"/>
        <v>1889</v>
      </c>
    </row>
    <row r="24" spans="1:5" ht="45" x14ac:dyDescent="0.2">
      <c r="A24" s="70" t="s">
        <v>85</v>
      </c>
      <c r="B24" s="86" t="s">
        <v>767</v>
      </c>
      <c r="C24" s="249">
        <v>0</v>
      </c>
      <c r="D24" s="249">
        <v>1300</v>
      </c>
      <c r="E24" s="250">
        <f t="shared" si="0"/>
        <v>1300</v>
      </c>
    </row>
    <row r="25" spans="1:5" ht="30" x14ac:dyDescent="0.2">
      <c r="A25" s="70" t="s">
        <v>146</v>
      </c>
      <c r="B25" s="86" t="s">
        <v>381</v>
      </c>
      <c r="C25" s="249">
        <v>0</v>
      </c>
      <c r="D25" s="249">
        <v>688</v>
      </c>
      <c r="E25" s="250">
        <f t="shared" si="0"/>
        <v>688</v>
      </c>
    </row>
    <row r="26" spans="1:5" ht="14.25" x14ac:dyDescent="0.2">
      <c r="A26" s="139" t="s">
        <v>36</v>
      </c>
      <c r="B26" s="138" t="s">
        <v>16</v>
      </c>
      <c r="C26" s="247">
        <f>C27+C28</f>
        <v>0</v>
      </c>
      <c r="D26" s="247">
        <f>D27+D28</f>
        <v>6093</v>
      </c>
      <c r="E26" s="248">
        <f t="shared" si="0"/>
        <v>6093</v>
      </c>
    </row>
    <row r="27" spans="1:5" ht="15" hidden="1" x14ac:dyDescent="0.2">
      <c r="A27" s="68" t="s">
        <v>287</v>
      </c>
      <c r="B27" s="86" t="s">
        <v>521</v>
      </c>
      <c r="C27" s="249"/>
      <c r="D27" s="249"/>
      <c r="E27" s="250">
        <f t="shared" si="0"/>
        <v>0</v>
      </c>
    </row>
    <row r="28" spans="1:5" ht="15" x14ac:dyDescent="0.2">
      <c r="A28" s="70" t="s">
        <v>576</v>
      </c>
      <c r="B28" s="86" t="s">
        <v>594</v>
      </c>
      <c r="C28" s="249">
        <v>0</v>
      </c>
      <c r="D28" s="249">
        <v>6093</v>
      </c>
      <c r="E28" s="250">
        <f t="shared" si="0"/>
        <v>6093</v>
      </c>
    </row>
    <row r="29" spans="1:5" ht="15.75" x14ac:dyDescent="0.25">
      <c r="A29" s="140"/>
      <c r="B29" s="141" t="s">
        <v>348</v>
      </c>
      <c r="C29" s="209">
        <f>C16+C18+C22+C26</f>
        <v>0</v>
      </c>
      <c r="D29" s="209">
        <f t="shared" ref="D29:E29" si="1">D16+D18+D22+D26</f>
        <v>352935</v>
      </c>
      <c r="E29" s="209">
        <f t="shared" si="1"/>
        <v>352935</v>
      </c>
    </row>
    <row r="33" spans="1:5" ht="15.75" x14ac:dyDescent="0.25">
      <c r="A33" s="577" t="s">
        <v>25</v>
      </c>
      <c r="B33" s="577"/>
      <c r="C33" s="136"/>
      <c r="D33" s="136"/>
      <c r="E33" s="137" t="s">
        <v>78</v>
      </c>
    </row>
  </sheetData>
  <mergeCells count="11">
    <mergeCell ref="A33:B33"/>
    <mergeCell ref="A5:E5"/>
    <mergeCell ref="B8:D8"/>
    <mergeCell ref="B9:D9"/>
    <mergeCell ref="B10:D10"/>
    <mergeCell ref="A14:A15"/>
    <mergeCell ref="B14:B15"/>
    <mergeCell ref="C14:D14"/>
    <mergeCell ref="E14:E15"/>
    <mergeCell ref="A13:E13"/>
    <mergeCell ref="A7:E7"/>
  </mergeCells>
  <printOptions horizontalCentered="1"/>
  <pageMargins left="0.78740157480314965" right="0.78740157480314965" top="0.78740157480314965" bottom="0.39370078740157483" header="0.19685039370078741" footer="0.19685039370078741"/>
  <pageSetup paperSize="9"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81"/>
  <sheetViews>
    <sheetView showGridLines="0" topLeftCell="A19" workbookViewId="0">
      <selection activeCell="E5" sqref="E5"/>
    </sheetView>
  </sheetViews>
  <sheetFormatPr defaultRowHeight="12.75" x14ac:dyDescent="0.2"/>
  <cols>
    <col min="1" max="1" width="10" style="95" customWidth="1"/>
    <col min="2" max="2" width="59.7109375" style="95" customWidth="1"/>
    <col min="3" max="3" width="16.140625" style="95" customWidth="1"/>
    <col min="4" max="16384" width="9.140625" style="95"/>
  </cols>
  <sheetData>
    <row r="1" spans="1:3" ht="15.75" x14ac:dyDescent="0.2">
      <c r="A1" s="258"/>
      <c r="B1" s="258"/>
      <c r="C1" s="259" t="s">
        <v>420</v>
      </c>
    </row>
    <row r="2" spans="1:3" ht="15" x14ac:dyDescent="0.2">
      <c r="A2" s="258"/>
      <c r="B2" s="258"/>
      <c r="C2" s="251" t="s">
        <v>866</v>
      </c>
    </row>
    <row r="3" spans="1:3" ht="15" x14ac:dyDescent="0.2">
      <c r="A3" s="258"/>
      <c r="B3" s="258"/>
      <c r="C3" s="251" t="s">
        <v>867</v>
      </c>
    </row>
    <row r="4" spans="1:3" ht="15" x14ac:dyDescent="0.2">
      <c r="A4" s="258"/>
      <c r="B4" s="258"/>
      <c r="C4" s="260"/>
    </row>
    <row r="5" spans="1:3" ht="49.5" customHeight="1" x14ac:dyDescent="0.2">
      <c r="A5" s="471" t="s">
        <v>861</v>
      </c>
      <c r="B5" s="472"/>
      <c r="C5" s="472"/>
    </row>
    <row r="6" spans="1:3" ht="15" x14ac:dyDescent="0.2">
      <c r="A6" s="258"/>
      <c r="B6" s="478"/>
      <c r="C6" s="478"/>
    </row>
    <row r="7" spans="1:3" ht="31.5" customHeight="1" x14ac:dyDescent="0.2">
      <c r="A7" s="479" t="s">
        <v>300</v>
      </c>
      <c r="B7" s="480"/>
      <c r="C7" s="252" t="s">
        <v>738</v>
      </c>
    </row>
    <row r="8" spans="1:3" ht="15.75" customHeight="1" x14ac:dyDescent="0.2">
      <c r="A8" s="585" t="s">
        <v>419</v>
      </c>
      <c r="B8" s="586"/>
      <c r="C8" s="586"/>
    </row>
    <row r="9" spans="1:3" ht="14.25" x14ac:dyDescent="0.2">
      <c r="A9" s="273"/>
      <c r="B9" s="274" t="s">
        <v>301</v>
      </c>
      <c r="C9" s="275">
        <v>330601</v>
      </c>
    </row>
    <row r="10" spans="1:3" ht="14.25" x14ac:dyDescent="0.2">
      <c r="A10" s="273"/>
      <c r="B10" s="274" t="s">
        <v>394</v>
      </c>
      <c r="C10" s="275">
        <v>10</v>
      </c>
    </row>
    <row r="11" spans="1:3" ht="14.25" x14ac:dyDescent="0.2">
      <c r="A11" s="273"/>
      <c r="B11" s="274" t="s">
        <v>392</v>
      </c>
      <c r="C11" s="275">
        <v>330591</v>
      </c>
    </row>
    <row r="13" spans="1:3" ht="15.75" customHeight="1" x14ac:dyDescent="0.2">
      <c r="A13" s="583" t="s">
        <v>302</v>
      </c>
      <c r="B13" s="584"/>
      <c r="C13" s="584"/>
    </row>
    <row r="14" spans="1:3" s="96" customFormat="1" ht="14.25" x14ac:dyDescent="0.2">
      <c r="B14" s="253" t="s">
        <v>301</v>
      </c>
      <c r="C14" s="254">
        <v>330601</v>
      </c>
    </row>
    <row r="15" spans="1:3" ht="15" x14ac:dyDescent="0.2">
      <c r="B15" s="255" t="s">
        <v>394</v>
      </c>
      <c r="C15" s="256">
        <v>10</v>
      </c>
    </row>
    <row r="16" spans="1:3" ht="15" x14ac:dyDescent="0.2">
      <c r="B16" s="255" t="s">
        <v>392</v>
      </c>
      <c r="C16" s="256">
        <v>330591</v>
      </c>
    </row>
    <row r="17" spans="1:3" ht="23.25" customHeight="1" x14ac:dyDescent="0.2"/>
    <row r="18" spans="1:3" ht="21" customHeight="1" x14ac:dyDescent="0.2">
      <c r="A18" s="587" t="s">
        <v>628</v>
      </c>
      <c r="B18" s="584"/>
      <c r="C18" s="584"/>
    </row>
    <row r="19" spans="1:3" s="96" customFormat="1" ht="14.25" x14ac:dyDescent="0.2">
      <c r="A19" s="273"/>
      <c r="B19" s="274" t="s">
        <v>301</v>
      </c>
      <c r="C19" s="275">
        <v>125</v>
      </c>
    </row>
    <row r="20" spans="1:3" ht="14.25" x14ac:dyDescent="0.2">
      <c r="A20" s="143"/>
      <c r="B20" s="274" t="s">
        <v>394</v>
      </c>
      <c r="C20" s="275">
        <v>125</v>
      </c>
    </row>
    <row r="22" spans="1:3" ht="15.75" customHeight="1" x14ac:dyDescent="0.2">
      <c r="A22" s="583" t="s">
        <v>410</v>
      </c>
      <c r="B22" s="584"/>
      <c r="C22" s="584"/>
    </row>
    <row r="23" spans="1:3" s="96" customFormat="1" ht="14.25" x14ac:dyDescent="0.2">
      <c r="B23" s="253" t="s">
        <v>301</v>
      </c>
      <c r="C23" s="254">
        <v>125</v>
      </c>
    </row>
    <row r="24" spans="1:3" ht="15" x14ac:dyDescent="0.2">
      <c r="B24" s="255" t="s">
        <v>394</v>
      </c>
      <c r="C24" s="256">
        <v>125</v>
      </c>
    </row>
    <row r="25" spans="1:3" ht="21" customHeight="1" x14ac:dyDescent="0.2"/>
    <row r="26" spans="1:3" ht="31.5" customHeight="1" x14ac:dyDescent="0.2">
      <c r="A26" s="587" t="s">
        <v>630</v>
      </c>
      <c r="B26" s="589"/>
      <c r="C26" s="589"/>
    </row>
    <row r="27" spans="1:3" s="96" customFormat="1" ht="14.25" x14ac:dyDescent="0.2">
      <c r="A27" s="273"/>
      <c r="B27" s="274" t="s">
        <v>301</v>
      </c>
      <c r="C27" s="275">
        <v>1589</v>
      </c>
    </row>
    <row r="28" spans="1:3" ht="14.25" x14ac:dyDescent="0.2">
      <c r="A28" s="143"/>
      <c r="B28" s="274" t="s">
        <v>394</v>
      </c>
      <c r="C28" s="275">
        <v>1589</v>
      </c>
    </row>
    <row r="30" spans="1:3" ht="15.75" customHeight="1" x14ac:dyDescent="0.2">
      <c r="A30" s="583" t="s">
        <v>408</v>
      </c>
      <c r="B30" s="584"/>
      <c r="C30" s="584"/>
    </row>
    <row r="31" spans="1:3" s="96" customFormat="1" ht="14.25" x14ac:dyDescent="0.2">
      <c r="B31" s="253" t="s">
        <v>301</v>
      </c>
      <c r="C31" s="254">
        <v>1589</v>
      </c>
    </row>
    <row r="32" spans="1:3" ht="15" x14ac:dyDescent="0.2">
      <c r="B32" s="255" t="s">
        <v>394</v>
      </c>
      <c r="C32" s="256">
        <v>1589</v>
      </c>
    </row>
    <row r="33" spans="1:3" ht="21" customHeight="1" x14ac:dyDescent="0.2"/>
    <row r="34" spans="1:3" ht="15.75" customHeight="1" x14ac:dyDescent="0.2">
      <c r="A34" s="587" t="s">
        <v>631</v>
      </c>
      <c r="B34" s="589"/>
      <c r="C34" s="589"/>
    </row>
    <row r="35" spans="1:3" s="96" customFormat="1" ht="14.25" x14ac:dyDescent="0.2">
      <c r="A35" s="273"/>
      <c r="B35" s="274" t="s">
        <v>301</v>
      </c>
      <c r="C35" s="275">
        <v>10650</v>
      </c>
    </row>
    <row r="36" spans="1:3" ht="14.25" x14ac:dyDescent="0.2">
      <c r="A36" s="143"/>
      <c r="B36" s="274" t="s">
        <v>395</v>
      </c>
      <c r="C36" s="275">
        <v>2100</v>
      </c>
    </row>
    <row r="37" spans="1:3" ht="14.25" x14ac:dyDescent="0.2">
      <c r="A37" s="143"/>
      <c r="B37" s="274" t="s">
        <v>394</v>
      </c>
      <c r="C37" s="275">
        <v>7550</v>
      </c>
    </row>
    <row r="38" spans="1:3" ht="14.25" x14ac:dyDescent="0.2">
      <c r="A38" s="143"/>
      <c r="B38" s="274" t="s">
        <v>392</v>
      </c>
      <c r="C38" s="275">
        <v>1000</v>
      </c>
    </row>
    <row r="40" spans="1:3" ht="15.75" customHeight="1" x14ac:dyDescent="0.2">
      <c r="A40" s="583" t="s">
        <v>407</v>
      </c>
      <c r="B40" s="584"/>
      <c r="C40" s="584"/>
    </row>
    <row r="41" spans="1:3" s="96" customFormat="1" ht="14.25" x14ac:dyDescent="0.2">
      <c r="B41" s="253" t="s">
        <v>301</v>
      </c>
      <c r="C41" s="254">
        <v>10650</v>
      </c>
    </row>
    <row r="42" spans="1:3" s="96" customFormat="1" ht="14.25" x14ac:dyDescent="0.2">
      <c r="B42" s="253" t="s">
        <v>395</v>
      </c>
      <c r="C42" s="254">
        <v>2100</v>
      </c>
    </row>
    <row r="43" spans="1:3" ht="15" x14ac:dyDescent="0.2">
      <c r="B43" s="255" t="s">
        <v>394</v>
      </c>
      <c r="C43" s="256">
        <v>7550</v>
      </c>
    </row>
    <row r="44" spans="1:3" ht="15" x14ac:dyDescent="0.2">
      <c r="B44" s="255" t="s">
        <v>392</v>
      </c>
      <c r="C44" s="256">
        <v>1000</v>
      </c>
    </row>
    <row r="46" spans="1:3" ht="31.5" customHeight="1" x14ac:dyDescent="0.2">
      <c r="A46" s="587" t="s">
        <v>795</v>
      </c>
      <c r="B46" s="588"/>
      <c r="C46" s="588"/>
    </row>
    <row r="47" spans="1:3" ht="14.25" x14ac:dyDescent="0.2">
      <c r="A47" s="273"/>
      <c r="B47" s="274" t="s">
        <v>301</v>
      </c>
      <c r="C47" s="275">
        <v>3877</v>
      </c>
    </row>
    <row r="48" spans="1:3" ht="14.25" x14ac:dyDescent="0.2">
      <c r="A48" s="273"/>
      <c r="B48" s="274" t="s">
        <v>394</v>
      </c>
      <c r="C48" s="275">
        <v>1324</v>
      </c>
    </row>
    <row r="49" spans="1:3" ht="14.25" x14ac:dyDescent="0.2">
      <c r="A49" s="273"/>
      <c r="B49" s="274" t="s">
        <v>392</v>
      </c>
      <c r="C49" s="275">
        <v>1889</v>
      </c>
    </row>
    <row r="50" spans="1:3" ht="14.25" x14ac:dyDescent="0.2">
      <c r="A50" s="273"/>
      <c r="B50" s="274" t="s">
        <v>391</v>
      </c>
      <c r="C50" s="275">
        <v>664</v>
      </c>
    </row>
    <row r="52" spans="1:3" ht="31.5" customHeight="1" x14ac:dyDescent="0.2">
      <c r="A52" s="583" t="s">
        <v>798</v>
      </c>
      <c r="B52" s="584"/>
      <c r="C52" s="584"/>
    </row>
    <row r="53" spans="1:3" s="96" customFormat="1" ht="14.25" x14ac:dyDescent="0.2">
      <c r="B53" s="253" t="s">
        <v>301</v>
      </c>
      <c r="C53" s="254">
        <v>1889</v>
      </c>
    </row>
    <row r="54" spans="1:3" ht="15" x14ac:dyDescent="0.2">
      <c r="B54" s="255" t="s">
        <v>392</v>
      </c>
      <c r="C54" s="256">
        <v>1889</v>
      </c>
    </row>
    <row r="56" spans="1:3" ht="31.5" customHeight="1" x14ac:dyDescent="0.2">
      <c r="A56" s="583" t="s">
        <v>799</v>
      </c>
      <c r="B56" s="584"/>
      <c r="C56" s="584"/>
    </row>
    <row r="57" spans="1:3" s="96" customFormat="1" ht="14.25" x14ac:dyDescent="0.2">
      <c r="B57" s="253" t="s">
        <v>301</v>
      </c>
      <c r="C57" s="254">
        <v>1300</v>
      </c>
    </row>
    <row r="58" spans="1:3" ht="15" x14ac:dyDescent="0.2">
      <c r="B58" s="255" t="s">
        <v>394</v>
      </c>
      <c r="C58" s="256">
        <v>1300</v>
      </c>
    </row>
    <row r="60" spans="1:3" ht="15.75" customHeight="1" x14ac:dyDescent="0.2">
      <c r="A60" s="583" t="s">
        <v>800</v>
      </c>
      <c r="B60" s="584"/>
      <c r="C60" s="584"/>
    </row>
    <row r="61" spans="1:3" s="96" customFormat="1" ht="14.25" x14ac:dyDescent="0.2">
      <c r="B61" s="253" t="s">
        <v>301</v>
      </c>
      <c r="C61" s="254">
        <v>688</v>
      </c>
    </row>
    <row r="62" spans="1:3" ht="15" x14ac:dyDescent="0.2">
      <c r="B62" s="255" t="s">
        <v>394</v>
      </c>
      <c r="C62" s="256">
        <v>24</v>
      </c>
    </row>
    <row r="63" spans="1:3" ht="15" x14ac:dyDescent="0.2">
      <c r="B63" s="255" t="s">
        <v>391</v>
      </c>
      <c r="C63" s="256">
        <v>664</v>
      </c>
    </row>
    <row r="64" spans="1:3" ht="13.5" customHeight="1" x14ac:dyDescent="0.2"/>
    <row r="65" spans="1:3" ht="31.5" customHeight="1" x14ac:dyDescent="0.2">
      <c r="A65" s="587" t="s">
        <v>803</v>
      </c>
      <c r="B65" s="588"/>
      <c r="C65" s="588"/>
    </row>
    <row r="66" spans="1:3" ht="14.25" x14ac:dyDescent="0.2">
      <c r="A66" s="273"/>
      <c r="B66" s="274" t="s">
        <v>301</v>
      </c>
      <c r="C66" s="275">
        <v>6093</v>
      </c>
    </row>
    <row r="67" spans="1:3" ht="14.25" x14ac:dyDescent="0.2">
      <c r="A67" s="273"/>
      <c r="B67" s="274" t="s">
        <v>394</v>
      </c>
      <c r="C67" s="275">
        <v>6093</v>
      </c>
    </row>
    <row r="69" spans="1:3" ht="15.75" customHeight="1" x14ac:dyDescent="0.2">
      <c r="A69" s="583" t="s">
        <v>634</v>
      </c>
      <c r="B69" s="584"/>
      <c r="C69" s="584"/>
    </row>
    <row r="70" spans="1:3" s="96" customFormat="1" ht="14.25" x14ac:dyDescent="0.2">
      <c r="B70" s="253" t="s">
        <v>301</v>
      </c>
      <c r="C70" s="254">
        <v>6093</v>
      </c>
    </row>
    <row r="71" spans="1:3" ht="15" x14ac:dyDescent="0.2">
      <c r="B71" s="255" t="s">
        <v>394</v>
      </c>
      <c r="C71" s="256">
        <v>6093</v>
      </c>
    </row>
    <row r="73" spans="1:3" ht="15.75" customHeight="1" x14ac:dyDescent="0.2">
      <c r="A73" s="583" t="s">
        <v>299</v>
      </c>
      <c r="B73" s="584"/>
      <c r="C73" s="584"/>
    </row>
    <row r="74" spans="1:3" ht="14.25" x14ac:dyDescent="0.2">
      <c r="B74" s="253" t="s">
        <v>301</v>
      </c>
      <c r="C74" s="254">
        <v>352935</v>
      </c>
    </row>
    <row r="75" spans="1:3" ht="14.25" x14ac:dyDescent="0.2">
      <c r="B75" s="253" t="s">
        <v>395</v>
      </c>
      <c r="C75" s="254">
        <v>2100</v>
      </c>
    </row>
    <row r="76" spans="1:3" ht="14.25" x14ac:dyDescent="0.2">
      <c r="B76" s="253" t="s">
        <v>394</v>
      </c>
      <c r="C76" s="254">
        <v>16691</v>
      </c>
    </row>
    <row r="77" spans="1:3" ht="14.25" x14ac:dyDescent="0.2">
      <c r="B77" s="253" t="s">
        <v>392</v>
      </c>
      <c r="C77" s="254">
        <v>333480</v>
      </c>
    </row>
    <row r="78" spans="1:3" ht="14.25" x14ac:dyDescent="0.2">
      <c r="B78" s="253" t="s">
        <v>391</v>
      </c>
      <c r="C78" s="254">
        <v>664</v>
      </c>
    </row>
    <row r="79" spans="1:3" x14ac:dyDescent="0.2">
      <c r="C79" s="257"/>
    </row>
    <row r="81" spans="1:3" ht="15.75" x14ac:dyDescent="0.25">
      <c r="A81" s="60" t="s">
        <v>25</v>
      </c>
      <c r="B81" s="60"/>
      <c r="C81" s="98" t="s">
        <v>26</v>
      </c>
    </row>
  </sheetData>
  <mergeCells count="18">
    <mergeCell ref="A18:C18"/>
    <mergeCell ref="A22:C22"/>
    <mergeCell ref="A46:C46"/>
    <mergeCell ref="A40:C40"/>
    <mergeCell ref="A34:C34"/>
    <mergeCell ref="A30:C30"/>
    <mergeCell ref="A26:C26"/>
    <mergeCell ref="A73:C73"/>
    <mergeCell ref="A69:C69"/>
    <mergeCell ref="A65:C65"/>
    <mergeCell ref="A60:C60"/>
    <mergeCell ref="A52:C52"/>
    <mergeCell ref="A56:C56"/>
    <mergeCell ref="A13:C13"/>
    <mergeCell ref="B6:C6"/>
    <mergeCell ref="A7:B7"/>
    <mergeCell ref="A8:C8"/>
    <mergeCell ref="A5:C5"/>
  </mergeCells>
  <pageMargins left="0.98425196850393704" right="0.98425196850393704" top="0.39370078740157483" bottom="0.39370078740157483" header="0.19685039370078741" footer="0.19685039370078741"/>
  <pageSetup paperSize="9" scale="95" fitToHeight="0" pageOrder="overThenDown" orientation="portrait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90" zoomScaleNormal="90" workbookViewId="0">
      <selection activeCell="H4" sqref="H4"/>
    </sheetView>
  </sheetViews>
  <sheetFormatPr defaultRowHeight="12.75" x14ac:dyDescent="0.2"/>
  <cols>
    <col min="1" max="1" width="7.28515625" style="61" customWidth="1"/>
    <col min="2" max="2" width="35.28515625" style="61" customWidth="1"/>
    <col min="3" max="3" width="13.42578125" style="61" customWidth="1"/>
    <col min="4" max="4" width="14" style="61" customWidth="1"/>
    <col min="5" max="5" width="14.42578125" style="61" customWidth="1"/>
    <col min="6" max="16384" width="9.140625" style="61"/>
  </cols>
  <sheetData>
    <row r="1" spans="1:6" ht="15.75" x14ac:dyDescent="0.25">
      <c r="A1" s="60"/>
      <c r="B1" s="60"/>
      <c r="E1" s="144" t="s">
        <v>706</v>
      </c>
    </row>
    <row r="2" spans="1:6" ht="15.75" x14ac:dyDescent="0.25">
      <c r="A2" s="60"/>
      <c r="B2" s="60"/>
      <c r="E2" s="145" t="s">
        <v>866</v>
      </c>
    </row>
    <row r="3" spans="1:6" ht="15.75" x14ac:dyDescent="0.25">
      <c r="A3" s="60"/>
      <c r="B3" s="60"/>
      <c r="D3" s="95"/>
      <c r="E3" s="145" t="s">
        <v>867</v>
      </c>
    </row>
    <row r="5" spans="1:6" ht="34.5" customHeight="1" x14ac:dyDescent="0.2">
      <c r="A5" s="590" t="s">
        <v>749</v>
      </c>
      <c r="B5" s="590"/>
      <c r="C5" s="590"/>
      <c r="D5" s="590"/>
      <c r="E5" s="590"/>
      <c r="F5" s="146"/>
    </row>
    <row r="6" spans="1:6" ht="15" x14ac:dyDescent="0.25">
      <c r="A6" s="147"/>
      <c r="B6" s="147"/>
      <c r="C6" s="147"/>
      <c r="D6" s="147"/>
      <c r="E6" s="148"/>
      <c r="F6" s="147"/>
    </row>
    <row r="7" spans="1:6" ht="15.75" x14ac:dyDescent="0.25">
      <c r="A7" s="154" t="s">
        <v>707</v>
      </c>
      <c r="B7" s="155"/>
      <c r="C7" s="156" t="s">
        <v>708</v>
      </c>
      <c r="D7" s="156" t="s">
        <v>721</v>
      </c>
      <c r="E7" s="156" t="s">
        <v>748</v>
      </c>
      <c r="F7" s="147"/>
    </row>
    <row r="8" spans="1:6" ht="15.75" x14ac:dyDescent="0.25">
      <c r="A8" s="149" t="s">
        <v>709</v>
      </c>
      <c r="B8" s="157" t="s">
        <v>51</v>
      </c>
      <c r="C8" s="158">
        <f>SUM(C9)</f>
        <v>1369537</v>
      </c>
      <c r="D8" s="158">
        <f>SUM(D9)</f>
        <v>1451000</v>
      </c>
      <c r="E8" s="158">
        <f>SUM(E9)</f>
        <v>1538000</v>
      </c>
      <c r="F8" s="150"/>
    </row>
    <row r="9" spans="1:6" ht="31.5" x14ac:dyDescent="0.25">
      <c r="A9" s="159"/>
      <c r="B9" s="160" t="s">
        <v>710</v>
      </c>
      <c r="C9" s="161">
        <v>1369537</v>
      </c>
      <c r="D9" s="162">
        <v>1451000</v>
      </c>
      <c r="E9" s="162">
        <v>1538000</v>
      </c>
      <c r="F9" s="147"/>
    </row>
    <row r="10" spans="1:6" ht="15.75" x14ac:dyDescent="0.25">
      <c r="A10" s="163" t="s">
        <v>711</v>
      </c>
      <c r="B10" s="157" t="s">
        <v>712</v>
      </c>
      <c r="C10" s="164">
        <f>SUM(C11:C15)</f>
        <v>1533052</v>
      </c>
      <c r="D10" s="164">
        <f>SUM(D11:D15)</f>
        <v>1451000</v>
      </c>
      <c r="E10" s="164">
        <f>SUM(E11:E15)</f>
        <v>1538000</v>
      </c>
      <c r="F10" s="150"/>
    </row>
    <row r="11" spans="1:6" ht="15.75" x14ac:dyDescent="0.25">
      <c r="A11" s="165">
        <v>1</v>
      </c>
      <c r="B11" s="160" t="s">
        <v>713</v>
      </c>
      <c r="C11" s="166">
        <v>293000</v>
      </c>
      <c r="D11" s="167">
        <v>200000</v>
      </c>
      <c r="E11" s="167">
        <v>229000</v>
      </c>
      <c r="F11" s="147"/>
    </row>
    <row r="12" spans="1:6" ht="15.75" x14ac:dyDescent="0.25">
      <c r="A12" s="165">
        <v>2</v>
      </c>
      <c r="B12" s="160" t="s">
        <v>714</v>
      </c>
      <c r="C12" s="166">
        <v>132377</v>
      </c>
      <c r="D12" s="167">
        <v>139000</v>
      </c>
      <c r="E12" s="167">
        <v>167000</v>
      </c>
      <c r="F12" s="147"/>
    </row>
    <row r="13" spans="1:6" ht="31.5" x14ac:dyDescent="0.25">
      <c r="A13" s="165">
        <v>2</v>
      </c>
      <c r="B13" s="160" t="s">
        <v>715</v>
      </c>
      <c r="C13" s="166">
        <v>32312</v>
      </c>
      <c r="D13" s="162">
        <v>41000</v>
      </c>
      <c r="E13" s="162">
        <v>71000</v>
      </c>
      <c r="F13" s="147"/>
    </row>
    <row r="14" spans="1:6" ht="15.75" x14ac:dyDescent="0.25">
      <c r="A14" s="165">
        <v>3</v>
      </c>
      <c r="B14" s="160" t="s">
        <v>716</v>
      </c>
      <c r="C14" s="166">
        <v>1005040</v>
      </c>
      <c r="D14" s="167">
        <v>1000000</v>
      </c>
      <c r="E14" s="167">
        <v>1000000</v>
      </c>
      <c r="F14" s="147"/>
    </row>
    <row r="15" spans="1:6" ht="15.75" x14ac:dyDescent="0.25">
      <c r="A15" s="165">
        <v>4</v>
      </c>
      <c r="B15" s="160" t="s">
        <v>717</v>
      </c>
      <c r="C15" s="166">
        <v>70323</v>
      </c>
      <c r="D15" s="167">
        <v>71000</v>
      </c>
      <c r="E15" s="167">
        <v>71000</v>
      </c>
      <c r="F15" s="147"/>
    </row>
    <row r="16" spans="1:6" ht="15.75" x14ac:dyDescent="0.25">
      <c r="A16" s="163" t="s">
        <v>718</v>
      </c>
      <c r="B16" s="157" t="s">
        <v>719</v>
      </c>
      <c r="C16" s="158">
        <f>SUM(C17)</f>
        <v>163515</v>
      </c>
      <c r="D16" s="158">
        <f>SUM(D17)</f>
        <v>0</v>
      </c>
      <c r="E16" s="158">
        <f>SUM(E17)</f>
        <v>0</v>
      </c>
      <c r="F16" s="150"/>
    </row>
    <row r="17" spans="1:6" ht="15.75" x14ac:dyDescent="0.25">
      <c r="A17" s="159"/>
      <c r="B17" s="168" t="s">
        <v>720</v>
      </c>
      <c r="C17" s="169">
        <v>163515</v>
      </c>
      <c r="D17" s="169">
        <v>0</v>
      </c>
      <c r="E17" s="169">
        <v>0</v>
      </c>
      <c r="F17" s="147"/>
    </row>
    <row r="19" spans="1:6" x14ac:dyDescent="0.2">
      <c r="C19" s="153"/>
    </row>
    <row r="20" spans="1:6" ht="15.75" x14ac:dyDescent="0.25">
      <c r="A20" s="151" t="s">
        <v>25</v>
      </c>
      <c r="B20" s="151"/>
      <c r="C20" s="151"/>
      <c r="D20" s="151"/>
      <c r="E20" s="152" t="s">
        <v>26</v>
      </c>
    </row>
    <row r="21" spans="1:6" x14ac:dyDescent="0.2">
      <c r="C21" s="153"/>
    </row>
  </sheetData>
  <mergeCells count="1">
    <mergeCell ref="A5:E5"/>
  </mergeCells>
  <pageMargins left="0.98425196850393704" right="0.78740157480314965" top="0.59055118110236227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1.pielikums</vt:lpstr>
      <vt:lpstr>2.pielikums</vt:lpstr>
      <vt:lpstr>3.pielikums</vt:lpstr>
      <vt:lpstr>4.pielikums</vt:lpstr>
      <vt:lpstr>5.pielikums</vt:lpstr>
      <vt:lpstr>6.pielikums</vt:lpstr>
      <vt:lpstr>7.pielikums</vt:lpstr>
      <vt:lpstr>8.pielikums</vt:lpstr>
      <vt:lpstr>'1.pielikums'!Print_Titles</vt:lpstr>
      <vt:lpstr>'3.pielikums'!Print_Titles</vt:lpstr>
      <vt:lpstr>'4.pielikums'!Print_Titles</vt:lpstr>
      <vt:lpstr>'5.pielikums'!Print_Titles</vt:lpstr>
      <vt:lpstr>'7.pielikums'!Print_Titles</vt:lpstr>
    </vt:vector>
  </TitlesOfParts>
  <Company>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2021-01-28T09:22:43Z</cp:lastPrinted>
  <dcterms:created xsi:type="dcterms:W3CDTF">2007-01-09T12:30:29Z</dcterms:created>
  <dcterms:modified xsi:type="dcterms:W3CDTF">2021-02-03T09:53:04Z</dcterms:modified>
</cp:coreProperties>
</file>