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45" yWindow="1245" windowWidth="24240" windowHeight="10575"/>
  </bookViews>
  <sheets>
    <sheet name="Maksas pakalpojumi" sheetId="6" r:id="rId1"/>
  </sheets>
  <definedNames>
    <definedName name="_xlnm.Print_Area" localSheetId="0">'Maksas pakalpojumi'!$A$1:$L$56</definedName>
    <definedName name="_xlnm.Print_Titles" localSheetId="0">'Maksas pakalpojumi'!$10:$10</definedName>
  </definedNames>
  <calcPr calcId="145621"/>
</workbook>
</file>

<file path=xl/calcChain.xml><?xml version="1.0" encoding="utf-8"?>
<calcChain xmlns="http://schemas.openxmlformats.org/spreadsheetml/2006/main">
  <c r="Y49" i="6" l="1"/>
  <c r="O49" i="6"/>
  <c r="O46" i="6"/>
  <c r="O44" i="6"/>
  <c r="M44" i="6"/>
  <c r="G44" i="6"/>
  <c r="O43" i="6"/>
  <c r="Z41" i="6"/>
  <c r="O41" i="6"/>
  <c r="M41" i="6"/>
  <c r="E41" i="6"/>
  <c r="Z38" i="6"/>
  <c r="Y38" i="6"/>
  <c r="X38" i="6"/>
  <c r="W38" i="6"/>
  <c r="V38" i="6"/>
  <c r="U38" i="6"/>
  <c r="T38" i="6"/>
  <c r="S38" i="6"/>
  <c r="R38" i="6"/>
  <c r="Q38" i="6"/>
  <c r="P38" i="6"/>
  <c r="O38" i="6"/>
  <c r="N38" i="6"/>
  <c r="M38" i="6"/>
  <c r="L38" i="6"/>
  <c r="K38" i="6"/>
  <c r="J38" i="6"/>
  <c r="I38" i="6"/>
  <c r="H38" i="6"/>
  <c r="G38" i="6"/>
  <c r="F38" i="6"/>
  <c r="E38" i="6"/>
  <c r="D38" i="6"/>
  <c r="C38" i="6"/>
  <c r="Y35" i="6"/>
  <c r="O35" i="6"/>
  <c r="Z33" i="6"/>
  <c r="Y33" i="6"/>
  <c r="X33" i="6"/>
  <c r="W33" i="6"/>
  <c r="V33" i="6"/>
  <c r="U33" i="6"/>
  <c r="T33" i="6"/>
  <c r="Q33" i="6"/>
  <c r="O33" i="6"/>
  <c r="K33" i="6"/>
  <c r="J33" i="6"/>
  <c r="G33" i="6"/>
  <c r="C33" i="6"/>
  <c r="I32" i="6"/>
  <c r="Z30" i="6"/>
  <c r="Y30" i="6"/>
  <c r="W30" i="6"/>
  <c r="V30" i="6"/>
  <c r="T30" i="6"/>
  <c r="R30" i="6"/>
  <c r="Q30" i="6"/>
  <c r="O30" i="6"/>
  <c r="M30" i="6"/>
  <c r="J30" i="6"/>
  <c r="I30" i="6"/>
  <c r="G30" i="6"/>
  <c r="E30" i="6"/>
  <c r="C30" i="6"/>
  <c r="Y29" i="6"/>
  <c r="X29" i="6"/>
  <c r="W29" i="6"/>
  <c r="V29" i="6"/>
  <c r="U29" i="6"/>
  <c r="S29" i="6"/>
  <c r="R29" i="6"/>
  <c r="Q29" i="6"/>
  <c r="O29" i="6"/>
  <c r="N29" i="6"/>
  <c r="M29" i="6"/>
  <c r="F29" i="6"/>
  <c r="Z27" i="6"/>
  <c r="X27" i="6"/>
  <c r="W27" i="6"/>
  <c r="V27" i="6"/>
  <c r="U27" i="6"/>
  <c r="T27" i="6"/>
  <c r="S27" i="6"/>
  <c r="R27" i="6"/>
  <c r="Q27" i="6"/>
  <c r="P27" i="6"/>
  <c r="O27" i="6"/>
  <c r="M27" i="6"/>
  <c r="G27" i="6"/>
  <c r="F27" i="6"/>
  <c r="E27" i="6"/>
  <c r="Z25" i="6"/>
  <c r="Y25" i="6"/>
  <c r="X25" i="6"/>
  <c r="W25" i="6"/>
  <c r="V25" i="6"/>
  <c r="U25" i="6"/>
  <c r="T25" i="6"/>
  <c r="S25" i="6"/>
  <c r="R25" i="6"/>
  <c r="P25" i="6"/>
  <c r="O25" i="6"/>
  <c r="N25" i="6"/>
  <c r="L25" i="6"/>
  <c r="K25" i="6"/>
  <c r="J25" i="6"/>
  <c r="I25" i="6"/>
  <c r="H25" i="6"/>
  <c r="G25" i="6"/>
  <c r="F25" i="6"/>
  <c r="E25" i="6"/>
  <c r="C25" i="6"/>
  <c r="O24" i="6"/>
  <c r="G24" i="6"/>
  <c r="Z23" i="6"/>
  <c r="W23" i="6"/>
  <c r="V23" i="6"/>
  <c r="U23" i="6"/>
  <c r="T23" i="6"/>
  <c r="S23" i="6"/>
  <c r="R23" i="6"/>
  <c r="Q23" i="6"/>
  <c r="P23" i="6"/>
  <c r="O23" i="6"/>
  <c r="M23" i="6"/>
  <c r="L23" i="6"/>
  <c r="K23" i="6"/>
  <c r="J23" i="6"/>
  <c r="H23" i="6"/>
  <c r="G23" i="6"/>
  <c r="F23" i="6"/>
  <c r="E23" i="6"/>
  <c r="C23" i="6"/>
  <c r="Z20" i="6"/>
  <c r="Y20" i="6"/>
  <c r="X20" i="6"/>
  <c r="W20" i="6"/>
  <c r="V20" i="6"/>
  <c r="U20" i="6"/>
  <c r="T20" i="6"/>
  <c r="S20" i="6"/>
  <c r="R20" i="6"/>
  <c r="Q20" i="6"/>
  <c r="P20" i="6"/>
  <c r="L20" i="6"/>
  <c r="K20" i="6"/>
  <c r="J20" i="6"/>
  <c r="I20" i="6"/>
  <c r="H20" i="6"/>
  <c r="G20" i="6"/>
  <c r="F20" i="6"/>
  <c r="E20" i="6"/>
  <c r="C20" i="6"/>
  <c r="Z19" i="6"/>
  <c r="Y19" i="6"/>
  <c r="X19" i="6"/>
  <c r="W19" i="6"/>
  <c r="V19" i="6"/>
  <c r="U19" i="6"/>
  <c r="T19" i="6"/>
  <c r="S19" i="6"/>
  <c r="R19" i="6"/>
  <c r="Q19" i="6"/>
  <c r="P19" i="6"/>
  <c r="L19" i="6"/>
  <c r="K19" i="6"/>
  <c r="J19" i="6"/>
  <c r="I19" i="6"/>
  <c r="H19" i="6"/>
  <c r="G19" i="6"/>
  <c r="F19" i="6"/>
  <c r="E19" i="6"/>
  <c r="C19" i="6"/>
  <c r="Z12" i="6"/>
  <c r="Y12" i="6"/>
  <c r="X12" i="6"/>
  <c r="W12" i="6"/>
  <c r="V12" i="6"/>
  <c r="U12" i="6"/>
  <c r="T12" i="6"/>
  <c r="S12" i="6"/>
  <c r="R12" i="6"/>
  <c r="Q12" i="6"/>
  <c r="P12" i="6"/>
  <c r="O12" i="6"/>
  <c r="N12" i="6"/>
  <c r="M12" i="6"/>
  <c r="L12" i="6"/>
  <c r="K12" i="6"/>
  <c r="J12" i="6"/>
  <c r="I12" i="6"/>
  <c r="H12" i="6"/>
  <c r="G12" i="6"/>
  <c r="F12" i="6"/>
  <c r="E12" i="6"/>
  <c r="D12" i="6"/>
  <c r="C12" i="6"/>
  <c r="C17" i="6" l="1"/>
  <c r="D17" i="6"/>
  <c r="E17" i="6"/>
  <c r="F17" i="6"/>
  <c r="F16" i="6" s="1"/>
  <c r="F34" i="6" s="1"/>
  <c r="F36" i="6" s="1"/>
  <c r="G17" i="6"/>
  <c r="H17" i="6"/>
  <c r="I17" i="6"/>
  <c r="J17" i="6"/>
  <c r="J16" i="6" s="1"/>
  <c r="J34" i="6" s="1"/>
  <c r="J36" i="6" s="1"/>
  <c r="K17" i="6"/>
  <c r="L17" i="6"/>
  <c r="D39" i="6"/>
  <c r="D47" i="6" s="1"/>
  <c r="F39" i="6"/>
  <c r="F47" i="6" s="1"/>
  <c r="H39" i="6"/>
  <c r="H47" i="6" s="1"/>
  <c r="J39" i="6"/>
  <c r="J47" i="6" s="1"/>
  <c r="L39" i="6"/>
  <c r="L47" i="6" s="1"/>
  <c r="N39" i="6"/>
  <c r="N47" i="6" s="1"/>
  <c r="N17" i="6"/>
  <c r="N16" i="6" s="1"/>
  <c r="N34" i="6" s="1"/>
  <c r="N36" i="6" s="1"/>
  <c r="P17" i="6"/>
  <c r="P16" i="6" s="1"/>
  <c r="P34" i="6" s="1"/>
  <c r="P36" i="6" s="1"/>
  <c r="R17" i="6"/>
  <c r="R16" i="6" s="1"/>
  <c r="R34" i="6" s="1"/>
  <c r="R36" i="6" s="1"/>
  <c r="T17" i="6"/>
  <c r="T16" i="6" s="1"/>
  <c r="T34" i="6" s="1"/>
  <c r="T36" i="6" s="1"/>
  <c r="V17" i="6"/>
  <c r="V16" i="6" s="1"/>
  <c r="V34" i="6" s="1"/>
  <c r="V36" i="6" s="1"/>
  <c r="X17" i="6"/>
  <c r="X16" i="6" s="1"/>
  <c r="X34" i="6" s="1"/>
  <c r="X36" i="6" s="1"/>
  <c r="Z17" i="6"/>
  <c r="Z16" i="6" s="1"/>
  <c r="Z34" i="6" s="1"/>
  <c r="Z36" i="6" s="1"/>
  <c r="D16" i="6"/>
  <c r="D34" i="6" s="1"/>
  <c r="D36" i="6" s="1"/>
  <c r="H16" i="6"/>
  <c r="H34" i="6" s="1"/>
  <c r="H36" i="6" s="1"/>
  <c r="L16" i="6"/>
  <c r="L34" i="6" s="1"/>
  <c r="L36" i="6" s="1"/>
  <c r="M17" i="6"/>
  <c r="M16" i="6" s="1"/>
  <c r="M34" i="6" s="1"/>
  <c r="M36" i="6" s="1"/>
  <c r="O17" i="6"/>
  <c r="O16" i="6" s="1"/>
  <c r="O34" i="6" s="1"/>
  <c r="O36" i="6" s="1"/>
  <c r="Q17" i="6"/>
  <c r="Q16" i="6" s="1"/>
  <c r="Q34" i="6" s="1"/>
  <c r="Q36" i="6" s="1"/>
  <c r="S17" i="6"/>
  <c r="S16" i="6" s="1"/>
  <c r="S34" i="6" s="1"/>
  <c r="S36" i="6" s="1"/>
  <c r="U17" i="6"/>
  <c r="U16" i="6" s="1"/>
  <c r="U34" i="6" s="1"/>
  <c r="U36" i="6" s="1"/>
  <c r="W17" i="6"/>
  <c r="W16" i="6" s="1"/>
  <c r="W34" i="6" s="1"/>
  <c r="W36" i="6" s="1"/>
  <c r="Y17" i="6"/>
  <c r="Y16" i="6" s="1"/>
  <c r="Y34" i="6" s="1"/>
  <c r="Y36" i="6" s="1"/>
  <c r="C16" i="6"/>
  <c r="C34" i="6" s="1"/>
  <c r="C36" i="6" s="1"/>
  <c r="E16" i="6"/>
  <c r="E34" i="6" s="1"/>
  <c r="E36" i="6" s="1"/>
  <c r="G16" i="6"/>
  <c r="G34" i="6" s="1"/>
  <c r="G36" i="6" s="1"/>
  <c r="I16" i="6"/>
  <c r="I34" i="6" s="1"/>
  <c r="I36" i="6" s="1"/>
  <c r="K16" i="6"/>
  <c r="K34" i="6" s="1"/>
  <c r="K36" i="6" s="1"/>
  <c r="C39" i="6"/>
  <c r="C48" i="6" s="1"/>
  <c r="E39" i="6"/>
  <c r="E48" i="6" s="1"/>
  <c r="G39" i="6"/>
  <c r="G48" i="6" s="1"/>
  <c r="I39" i="6"/>
  <c r="I48" i="6" s="1"/>
  <c r="K39" i="6"/>
  <c r="K48" i="6" s="1"/>
  <c r="M39" i="6"/>
  <c r="M48" i="6" s="1"/>
  <c r="O39" i="6"/>
  <c r="O48" i="6" s="1"/>
  <c r="Q39" i="6"/>
  <c r="Q48" i="6" s="1"/>
  <c r="S39" i="6"/>
  <c r="S48" i="6" s="1"/>
  <c r="U39" i="6"/>
  <c r="U48" i="6" s="1"/>
  <c r="W39" i="6"/>
  <c r="W48" i="6" s="1"/>
  <c r="Y39" i="6"/>
  <c r="Y47" i="6" s="1"/>
  <c r="D48" i="6"/>
  <c r="F48" i="6"/>
  <c r="H48" i="6"/>
  <c r="J48" i="6"/>
  <c r="L48" i="6"/>
  <c r="N48" i="6"/>
  <c r="P39" i="6"/>
  <c r="P48" i="6" s="1"/>
  <c r="R39" i="6"/>
  <c r="R48" i="6" s="1"/>
  <c r="T39" i="6"/>
  <c r="T47" i="6" s="1"/>
  <c r="V39" i="6"/>
  <c r="V48" i="6" s="1"/>
  <c r="X39" i="6"/>
  <c r="X48" i="6" s="1"/>
  <c r="Z39" i="6"/>
  <c r="Z48" i="6" s="1"/>
  <c r="Z47" i="6" l="1"/>
  <c r="Z50" i="6" s="1"/>
  <c r="Z51" i="6" s="1"/>
  <c r="Z52" i="6" s="1"/>
  <c r="N74" i="6" s="1"/>
  <c r="X47" i="6"/>
  <c r="X50" i="6" s="1"/>
  <c r="X51" i="6" s="1"/>
  <c r="X52" i="6" s="1"/>
  <c r="L74" i="6" s="1"/>
  <c r="L75" i="6" s="1"/>
  <c r="W47" i="6"/>
  <c r="W50" i="6" s="1"/>
  <c r="W51" i="6" s="1"/>
  <c r="W52" i="6" s="1"/>
  <c r="K74" i="6" s="1"/>
  <c r="K75" i="6" s="1"/>
  <c r="V47" i="6"/>
  <c r="V50" i="6" s="1"/>
  <c r="V51" i="6" s="1"/>
  <c r="V52" i="6" s="1"/>
  <c r="I74" i="6" s="1"/>
  <c r="U47" i="6"/>
  <c r="S47" i="6"/>
  <c r="S50" i="6" s="1"/>
  <c r="S51" i="6" s="1"/>
  <c r="S52" i="6" s="1"/>
  <c r="F74" i="6" s="1"/>
  <c r="F75" i="6" s="1"/>
  <c r="R47" i="6"/>
  <c r="R50" i="6" s="1"/>
  <c r="R51" i="6" s="1"/>
  <c r="R52" i="6" s="1"/>
  <c r="E74" i="6" s="1"/>
  <c r="E75" i="6" s="1"/>
  <c r="Q47" i="6"/>
  <c r="P47" i="6"/>
  <c r="P50" i="6" s="1"/>
  <c r="P51" i="6" s="1"/>
  <c r="P52" i="6" s="1"/>
  <c r="C74" i="6" s="1"/>
  <c r="C75" i="6" s="1"/>
  <c r="O47" i="6"/>
  <c r="M47" i="6"/>
  <c r="M50" i="6" s="1"/>
  <c r="M51" i="6" s="1"/>
  <c r="M52" i="6" s="1"/>
  <c r="K47" i="6"/>
  <c r="K50" i="6" s="1"/>
  <c r="K51" i="6" s="1"/>
  <c r="K52" i="6" s="1"/>
  <c r="I47" i="6"/>
  <c r="I50" i="6" s="1"/>
  <c r="I51" i="6" s="1"/>
  <c r="I52" i="6" s="1"/>
  <c r="G47" i="6"/>
  <c r="E47" i="6"/>
  <c r="E50" i="6" s="1"/>
  <c r="E51" i="6" s="1"/>
  <c r="E52" i="6" s="1"/>
  <c r="E62" i="6" s="1"/>
  <c r="C47" i="6"/>
  <c r="C50" i="6" s="1"/>
  <c r="C51" i="6" s="1"/>
  <c r="C52" i="6" s="1"/>
  <c r="U50" i="6"/>
  <c r="U51" i="6" s="1"/>
  <c r="U52" i="6" s="1"/>
  <c r="H74" i="6" s="1"/>
  <c r="H75" i="6" s="1"/>
  <c r="Y48" i="6"/>
  <c r="Y50" i="6" s="1"/>
  <c r="Y51" i="6" s="1"/>
  <c r="Y52" i="6" s="1"/>
  <c r="M74" i="6" s="1"/>
  <c r="M75" i="6" s="1"/>
  <c r="Q50" i="6"/>
  <c r="Q51" i="6" s="1"/>
  <c r="Q52" i="6" s="1"/>
  <c r="D74" i="6" s="1"/>
  <c r="D75" i="6" s="1"/>
  <c r="L50" i="6"/>
  <c r="L51" i="6" s="1"/>
  <c r="L52" i="6" s="1"/>
  <c r="L54" i="6" s="1"/>
  <c r="H50" i="6"/>
  <c r="H51" i="6" s="1"/>
  <c r="H52" i="6" s="1"/>
  <c r="H54" i="6" s="1"/>
  <c r="D50" i="6"/>
  <c r="D51" i="6" s="1"/>
  <c r="D52" i="6" s="1"/>
  <c r="D54" i="6" s="1"/>
  <c r="G50" i="6"/>
  <c r="G51" i="6" s="1"/>
  <c r="G52" i="6" s="1"/>
  <c r="N50" i="6"/>
  <c r="N51" i="6" s="1"/>
  <c r="N52" i="6" s="1"/>
  <c r="T48" i="6"/>
  <c r="T50" i="6" s="1"/>
  <c r="T51" i="6" s="1"/>
  <c r="T52" i="6" s="1"/>
  <c r="G74" i="6" s="1"/>
  <c r="G75" i="6" s="1"/>
  <c r="O50" i="6"/>
  <c r="O51" i="6" s="1"/>
  <c r="O52" i="6" s="1"/>
  <c r="M62" i="6" s="1"/>
  <c r="M63" i="6" s="1"/>
  <c r="J50" i="6"/>
  <c r="J51" i="6" s="1"/>
  <c r="J52" i="6" s="1"/>
  <c r="F50" i="6"/>
  <c r="F51" i="6" s="1"/>
  <c r="F52" i="6" s="1"/>
  <c r="I79" i="6" l="1"/>
  <c r="I75" i="6"/>
  <c r="J74" i="6"/>
  <c r="J75" i="6" s="1"/>
  <c r="N75" i="6"/>
  <c r="O74" i="6"/>
  <c r="O75" i="6" s="1"/>
  <c r="J62" i="6"/>
  <c r="J63" i="6" s="1"/>
  <c r="D91" i="6"/>
  <c r="D92" i="6" s="1"/>
  <c r="J54" i="6"/>
  <c r="C91" i="6"/>
  <c r="C92" i="6" s="1"/>
  <c r="C93" i="6" s="1"/>
  <c r="I95" i="6" s="1"/>
  <c r="F54" i="6"/>
  <c r="C103" i="6"/>
  <c r="C104" i="6" s="1"/>
  <c r="C54" i="6"/>
  <c r="K62" i="6"/>
  <c r="K63" i="6" s="1"/>
  <c r="G103" i="6"/>
  <c r="G104" i="6" s="1"/>
  <c r="K54" i="6"/>
  <c r="E103" i="6"/>
  <c r="E104" i="6" s="1"/>
  <c r="G54" i="6"/>
  <c r="D103" i="6"/>
  <c r="D104" i="6" s="1"/>
  <c r="E54" i="6"/>
  <c r="F103" i="6"/>
  <c r="F104" i="6" s="1"/>
  <c r="I54" i="6"/>
  <c r="O62" i="6"/>
  <c r="O63" i="6" s="1"/>
  <c r="L62" i="6"/>
  <c r="L63" i="6" s="1"/>
  <c r="H62" i="6"/>
  <c r="H63" i="6" s="1"/>
  <c r="C62" i="6"/>
  <c r="C63" i="6" s="1"/>
  <c r="R54" i="6"/>
  <c r="N62" i="6"/>
  <c r="N63" i="6" s="1"/>
  <c r="V54" i="6"/>
  <c r="F62" i="6"/>
  <c r="F63" i="6" s="1"/>
  <c r="I62" i="6"/>
  <c r="I63" i="6" s="1"/>
  <c r="G62" i="6"/>
  <c r="G63" i="6" s="1"/>
  <c r="D62" i="6"/>
  <c r="D63" i="6" s="1"/>
  <c r="T54" i="6"/>
  <c r="X54" i="6"/>
  <c r="S54" i="6"/>
  <c r="Z54" i="6"/>
  <c r="Q54" i="6"/>
  <c r="Y54" i="6"/>
  <c r="P54" i="6"/>
  <c r="W54" i="6"/>
  <c r="U54" i="6"/>
  <c r="I66" i="6" l="1"/>
  <c r="I80" i="6"/>
  <c r="C76" i="6"/>
  <c r="E63" i="6"/>
  <c r="C64" i="6" s="1"/>
  <c r="C105" i="6"/>
  <c r="I107" i="6" s="1"/>
  <c r="I67" i="6" l="1"/>
</calcChain>
</file>

<file path=xl/comments1.xml><?xml version="1.0" encoding="utf-8"?>
<comments xmlns="http://schemas.openxmlformats.org/spreadsheetml/2006/main">
  <authors>
    <author>Autors</author>
    <author>Dana Bertašus</author>
    <author>PII</author>
  </authors>
  <commentList>
    <comment ref="O27" authorId="0">
      <text>
        <r>
          <rPr>
            <b/>
            <sz val="9"/>
            <color indexed="81"/>
            <rFont val="Tahoma"/>
            <family val="2"/>
            <charset val="186"/>
          </rPr>
          <t>t.sk. optikas kabeļa ierīkošanai (1889,88 EUR ar PVN)</t>
        </r>
      </text>
    </comment>
    <comment ref="I32" authorId="0">
      <text>
        <r>
          <rPr>
            <b/>
            <sz val="9"/>
            <color indexed="81"/>
            <rFont val="Tahoma"/>
            <family val="2"/>
            <charset val="186"/>
          </rPr>
          <t>Ēdnīcas kapitālais remonts II kārta</t>
        </r>
      </text>
    </comment>
    <comment ref="C33" authorId="1">
      <text>
        <r>
          <rPr>
            <b/>
            <sz val="9"/>
            <color indexed="81"/>
            <rFont val="Tahoma"/>
            <family val="2"/>
            <charset val="186"/>
          </rPr>
          <t>Dana Bertašus:</t>
        </r>
        <r>
          <rPr>
            <sz val="9"/>
            <color indexed="81"/>
            <rFont val="Tahoma"/>
            <family val="2"/>
            <charset val="186"/>
          </rPr>
          <t xml:space="preserve">
2 pļaujmašīnas, grīdu uzkopšanas mašīna</t>
        </r>
      </text>
    </comment>
    <comment ref="D33" authorId="1">
      <text>
        <r>
          <rPr>
            <b/>
            <sz val="9"/>
            <color indexed="81"/>
            <rFont val="Tahoma"/>
            <family val="2"/>
            <charset val="186"/>
          </rPr>
          <t>Dana Bertašus:</t>
        </r>
        <r>
          <rPr>
            <sz val="9"/>
            <color indexed="81"/>
            <rFont val="Tahoma"/>
            <family val="2"/>
            <charset val="186"/>
          </rPr>
          <t xml:space="preserve">
grīdu uzkopšanas mašīna</t>
        </r>
      </text>
    </comment>
    <comment ref="F33" authorId="1">
      <text>
        <r>
          <rPr>
            <b/>
            <sz val="9"/>
            <color indexed="81"/>
            <rFont val="Tahoma"/>
            <family val="2"/>
            <charset val="186"/>
          </rPr>
          <t>Dana Bertašus:</t>
        </r>
        <r>
          <rPr>
            <sz val="9"/>
            <color indexed="81"/>
            <rFont val="Tahoma"/>
            <family val="2"/>
            <charset val="186"/>
          </rPr>
          <t xml:space="preserve">
1 trimmeris</t>
        </r>
      </text>
    </comment>
    <comment ref="G33" authorId="1">
      <text>
        <r>
          <rPr>
            <b/>
            <sz val="9"/>
            <color indexed="81"/>
            <rFont val="Tahoma"/>
            <family val="2"/>
            <charset val="186"/>
          </rPr>
          <t>Dana Bertašus:</t>
        </r>
        <r>
          <rPr>
            <sz val="9"/>
            <color indexed="81"/>
            <rFont val="Tahoma"/>
            <family val="2"/>
            <charset val="186"/>
          </rPr>
          <t xml:space="preserve">
2 zāles pļāvēji, mazgātājs augstspiediena</t>
        </r>
      </text>
    </comment>
    <comment ref="I33" authorId="1">
      <text>
        <r>
          <rPr>
            <b/>
            <sz val="9"/>
            <color indexed="81"/>
            <rFont val="Tahoma"/>
            <family val="2"/>
            <charset val="186"/>
          </rPr>
          <t>Dana Bertašus:</t>
        </r>
        <r>
          <rPr>
            <sz val="9"/>
            <color indexed="81"/>
            <rFont val="Tahoma"/>
            <family val="2"/>
            <charset val="186"/>
          </rPr>
          <t xml:space="preserve">
1 zāles pļāvējs</t>
        </r>
      </text>
    </comment>
    <comment ref="J33" authorId="1">
      <text>
        <r>
          <rPr>
            <b/>
            <sz val="9"/>
            <color indexed="81"/>
            <rFont val="Tahoma"/>
            <family val="2"/>
            <charset val="186"/>
          </rPr>
          <t>Dana Bertašus:</t>
        </r>
        <r>
          <rPr>
            <sz val="9"/>
            <color indexed="81"/>
            <rFont val="Tahoma"/>
            <family val="2"/>
            <charset val="186"/>
          </rPr>
          <t xml:space="preserve">
1 zāles pļāvējs, 3 grīdu uzkopšanas mašīnas</t>
        </r>
      </text>
    </comment>
    <comment ref="K33" authorId="1">
      <text>
        <r>
          <rPr>
            <b/>
            <sz val="9"/>
            <color indexed="81"/>
            <rFont val="Tahoma"/>
            <family val="2"/>
            <charset val="186"/>
          </rPr>
          <t>Dana Bertašus:</t>
        </r>
        <r>
          <rPr>
            <sz val="9"/>
            <color indexed="81"/>
            <rFont val="Tahoma"/>
            <family val="2"/>
            <charset val="186"/>
          </rPr>
          <t xml:space="preserve">
1 zāles pļāvējs, 4 grīdu uzkopšanas mašīnas, putekļusūcējs</t>
        </r>
      </text>
    </comment>
    <comment ref="M33" authorId="1">
      <text>
        <r>
          <rPr>
            <b/>
            <sz val="9"/>
            <color indexed="81"/>
            <rFont val="Tahoma"/>
            <family val="2"/>
            <charset val="186"/>
          </rPr>
          <t>Dana Bertašus:</t>
        </r>
        <r>
          <rPr>
            <sz val="9"/>
            <color indexed="81"/>
            <rFont val="Tahoma"/>
            <family val="2"/>
            <charset val="186"/>
          </rPr>
          <t xml:space="preserve">
1 zāles pļāvējs</t>
        </r>
      </text>
    </comment>
    <comment ref="N33" authorId="1">
      <text>
        <r>
          <rPr>
            <b/>
            <sz val="9"/>
            <color indexed="81"/>
            <rFont val="Tahoma"/>
            <family val="2"/>
            <charset val="186"/>
          </rPr>
          <t>Dana Bertašus:</t>
        </r>
        <r>
          <rPr>
            <sz val="9"/>
            <color indexed="81"/>
            <rFont val="Tahoma"/>
            <family val="2"/>
            <charset val="186"/>
          </rPr>
          <t xml:space="preserve">
putekļu sūcējs</t>
        </r>
      </text>
    </comment>
    <comment ref="O33" authorId="1">
      <text>
        <r>
          <rPr>
            <b/>
            <sz val="9"/>
            <color indexed="81"/>
            <rFont val="Tahoma"/>
            <family val="2"/>
            <charset val="186"/>
          </rPr>
          <t>Dana Bertašus:</t>
        </r>
        <r>
          <rPr>
            <sz val="9"/>
            <color indexed="81"/>
            <rFont val="Tahoma"/>
            <family val="2"/>
            <charset val="186"/>
          </rPr>
          <t xml:space="preserve">
krūmgriezis un augstspied.mazg.iekārta Karcher</t>
        </r>
      </text>
    </comment>
    <comment ref="P33" authorId="1">
      <text>
        <r>
          <rPr>
            <b/>
            <sz val="9"/>
            <color indexed="81"/>
            <rFont val="Tahoma"/>
            <family val="2"/>
            <charset val="186"/>
          </rPr>
          <t>Dana Bertašus:</t>
        </r>
        <r>
          <rPr>
            <sz val="9"/>
            <color indexed="81"/>
            <rFont val="Tahoma"/>
            <family val="2"/>
            <charset val="186"/>
          </rPr>
          <t xml:space="preserve">
zāles pļāvējs</t>
        </r>
      </text>
    </comment>
    <comment ref="Q33" authorId="1">
      <text>
        <r>
          <rPr>
            <b/>
            <sz val="9"/>
            <color indexed="81"/>
            <rFont val="Tahoma"/>
            <family val="2"/>
            <charset val="186"/>
          </rPr>
          <t>Dana Bertašus:</t>
        </r>
        <r>
          <rPr>
            <sz val="9"/>
            <color indexed="81"/>
            <rFont val="Tahoma"/>
            <family val="2"/>
            <charset val="186"/>
          </rPr>
          <t xml:space="preserve">
2 zāles pļāvēji, sniega pūtējs, zāles šķēres, motorzāģis, putekļu sūcējs</t>
        </r>
      </text>
    </comment>
    <comment ref="R33" authorId="1">
      <text>
        <r>
          <rPr>
            <b/>
            <sz val="9"/>
            <color indexed="81"/>
            <rFont val="Tahoma"/>
            <family val="2"/>
            <charset val="186"/>
          </rPr>
          <t>Dana Bertašus:</t>
        </r>
        <r>
          <rPr>
            <sz val="9"/>
            <color indexed="81"/>
            <rFont val="Tahoma"/>
            <family val="2"/>
            <charset val="186"/>
          </rPr>
          <t xml:space="preserve">
zāles pļāvējs</t>
        </r>
      </text>
    </comment>
    <comment ref="S33" authorId="1">
      <text>
        <r>
          <rPr>
            <b/>
            <sz val="9"/>
            <color indexed="81"/>
            <rFont val="Tahoma"/>
            <family val="2"/>
            <charset val="186"/>
          </rPr>
          <t>Dana Bertašus:</t>
        </r>
        <r>
          <rPr>
            <sz val="9"/>
            <color indexed="81"/>
            <rFont val="Tahoma"/>
            <family val="2"/>
            <charset val="186"/>
          </rPr>
          <t xml:space="preserve">
zāles pļāvējs</t>
        </r>
      </text>
    </comment>
    <comment ref="T33" authorId="1">
      <text>
        <r>
          <rPr>
            <b/>
            <sz val="9"/>
            <color indexed="81"/>
            <rFont val="Tahoma"/>
            <family val="2"/>
            <charset val="186"/>
          </rPr>
          <t>Dana Bertašus:</t>
        </r>
        <r>
          <rPr>
            <sz val="9"/>
            <color indexed="81"/>
            <rFont val="Tahoma"/>
            <family val="2"/>
            <charset val="186"/>
          </rPr>
          <t xml:space="preserve">
zāles pļāvējs un krūmgriezis, 3 putekļusūcēji</t>
        </r>
      </text>
    </comment>
    <comment ref="U33" authorId="1">
      <text>
        <r>
          <rPr>
            <b/>
            <sz val="9"/>
            <color indexed="81"/>
            <rFont val="Tahoma"/>
            <family val="2"/>
            <charset val="186"/>
          </rPr>
          <t>Dana Bertašus:</t>
        </r>
        <r>
          <rPr>
            <sz val="9"/>
            <color indexed="81"/>
            <rFont val="Tahoma"/>
            <family val="2"/>
            <charset val="186"/>
          </rPr>
          <t xml:space="preserve">
2 zāles pļāvēji</t>
        </r>
      </text>
    </comment>
    <comment ref="V33" authorId="1">
      <text>
        <r>
          <rPr>
            <b/>
            <sz val="9"/>
            <color indexed="81"/>
            <rFont val="Tahoma"/>
            <family val="2"/>
            <charset val="186"/>
          </rPr>
          <t>Dana Bertašus:</t>
        </r>
        <r>
          <rPr>
            <sz val="9"/>
            <color indexed="81"/>
            <rFont val="Tahoma"/>
            <family val="2"/>
            <charset val="186"/>
          </rPr>
          <t xml:space="preserve">
trimmeris, 2 zāles pļāvēji, sniega frēze, putekļusūcējs</t>
        </r>
      </text>
    </comment>
    <comment ref="W33" authorId="1">
      <text>
        <r>
          <rPr>
            <b/>
            <sz val="9"/>
            <color indexed="81"/>
            <rFont val="Tahoma"/>
            <family val="2"/>
            <charset val="186"/>
          </rPr>
          <t>Dana Bertašus:</t>
        </r>
        <r>
          <rPr>
            <sz val="9"/>
            <color indexed="81"/>
            <rFont val="Tahoma"/>
            <family val="2"/>
            <charset val="186"/>
          </rPr>
          <t xml:space="preserve">
zaru smalcinātājs, 2 zāles pļāvēji, dārza kompostētājs, trimmeris</t>
        </r>
      </text>
    </comment>
    <comment ref="X33" authorId="1">
      <text>
        <r>
          <rPr>
            <b/>
            <sz val="9"/>
            <color indexed="81"/>
            <rFont val="Tahoma"/>
            <family val="2"/>
            <charset val="186"/>
          </rPr>
          <t>Dana Bertašus:</t>
        </r>
        <r>
          <rPr>
            <sz val="9"/>
            <color indexed="81"/>
            <rFont val="Tahoma"/>
            <family val="2"/>
            <charset val="186"/>
          </rPr>
          <t xml:space="preserve">
2 zāles pļāvēji un sniega pūtējs, 2 putekļusūcēji</t>
        </r>
      </text>
    </comment>
    <comment ref="Y33" authorId="1">
      <text>
        <r>
          <rPr>
            <b/>
            <sz val="9"/>
            <color indexed="81"/>
            <rFont val="Tahoma"/>
            <family val="2"/>
            <charset val="186"/>
          </rPr>
          <t>Dana Bertašus:</t>
        </r>
        <r>
          <rPr>
            <sz val="9"/>
            <color indexed="81"/>
            <rFont val="Tahoma"/>
            <family val="2"/>
            <charset val="186"/>
          </rPr>
          <t xml:space="preserve">
sniega pūtējs, pļaujmašīna</t>
        </r>
      </text>
    </comment>
    <comment ref="Z33" authorId="1">
      <text>
        <r>
          <rPr>
            <b/>
            <sz val="9"/>
            <color indexed="81"/>
            <rFont val="Tahoma"/>
            <family val="2"/>
            <charset val="186"/>
          </rPr>
          <t>Dana Bertašus:</t>
        </r>
        <r>
          <rPr>
            <sz val="9"/>
            <color indexed="81"/>
            <rFont val="Tahoma"/>
            <family val="2"/>
            <charset val="186"/>
          </rPr>
          <t xml:space="preserve">
sniega frēze, zāles pļāvējs</t>
        </r>
      </text>
    </comment>
    <comment ref="O35" authorId="1">
      <text>
        <r>
          <rPr>
            <b/>
            <sz val="9"/>
            <color indexed="81"/>
            <rFont val="Tahoma"/>
            <family val="2"/>
            <charset val="186"/>
          </rPr>
          <t>Dana Bertašus:</t>
        </r>
        <r>
          <rPr>
            <sz val="9"/>
            <color indexed="81"/>
            <rFont val="Tahoma"/>
            <family val="2"/>
            <charset val="186"/>
          </rPr>
          <t xml:space="preserve">
Ēka Skolas ielā 2 un Pasta ielā 32</t>
        </r>
      </text>
    </comment>
    <comment ref="Y35" authorId="2">
      <text>
        <r>
          <rPr>
            <b/>
            <sz val="9"/>
            <color indexed="81"/>
            <rFont val="Tahoma"/>
            <family val="2"/>
            <charset val="186"/>
          </rPr>
          <t>PII:</t>
        </r>
        <r>
          <rPr>
            <sz val="9"/>
            <color indexed="81"/>
            <rFont val="Tahoma"/>
            <family val="2"/>
            <charset val="186"/>
          </rPr>
          <t xml:space="preserve">
939,86 m2 +29,41 m2 (sakņu glabātuve)</t>
        </r>
      </text>
    </comment>
    <comment ref="Z35" authorId="2">
      <text>
        <r>
          <rPr>
            <b/>
            <sz val="9"/>
            <color indexed="81"/>
            <rFont val="Tahoma"/>
            <family val="2"/>
            <charset val="186"/>
          </rPr>
          <t>PII:</t>
        </r>
        <r>
          <rPr>
            <sz val="9"/>
            <color indexed="81"/>
            <rFont val="Tahoma"/>
            <family val="2"/>
            <charset val="186"/>
          </rPr>
          <t xml:space="preserve">
3082,70 m2</t>
        </r>
      </text>
    </comment>
    <comment ref="O46" authorId="1">
      <text>
        <r>
          <rPr>
            <b/>
            <sz val="9"/>
            <color indexed="81"/>
            <rFont val="Tahoma"/>
            <family val="2"/>
            <charset val="186"/>
          </rPr>
          <t>Dana Bertašus:</t>
        </r>
        <r>
          <rPr>
            <sz val="9"/>
            <color indexed="81"/>
            <rFont val="Tahoma"/>
            <family val="2"/>
            <charset val="186"/>
          </rPr>
          <t xml:space="preserve">
Pasta 32, Skolas 2, Lediņu nedzīvojamā ēka</t>
        </r>
      </text>
    </comment>
    <comment ref="O49" authorId="1">
      <text>
        <r>
          <rPr>
            <b/>
            <sz val="9"/>
            <color indexed="81"/>
            <rFont val="Tahoma"/>
            <family val="2"/>
            <charset val="186"/>
          </rPr>
          <t>Dana Bertašus:</t>
        </r>
        <r>
          <rPr>
            <sz val="9"/>
            <color indexed="81"/>
            <rFont val="Tahoma"/>
            <family val="2"/>
            <charset val="186"/>
          </rPr>
          <t xml:space="preserve">
Ēka Skolas ielā 2 un Pasta ielā 32</t>
        </r>
      </text>
    </comment>
    <comment ref="Y49" authorId="2">
      <text>
        <r>
          <rPr>
            <b/>
            <sz val="9"/>
            <color indexed="81"/>
            <rFont val="Tahoma"/>
            <family val="2"/>
            <charset val="186"/>
          </rPr>
          <t>PII:</t>
        </r>
        <r>
          <rPr>
            <sz val="9"/>
            <color indexed="81"/>
            <rFont val="Tahoma"/>
            <family val="2"/>
            <charset val="186"/>
          </rPr>
          <t xml:space="preserve">
939,86 m2 +29,41 m2 (sakņu glabātuve)</t>
        </r>
      </text>
    </comment>
    <comment ref="Z49" authorId="2">
      <text>
        <r>
          <rPr>
            <b/>
            <sz val="9"/>
            <color indexed="81"/>
            <rFont val="Tahoma"/>
            <family val="2"/>
            <charset val="186"/>
          </rPr>
          <t>PII:</t>
        </r>
        <r>
          <rPr>
            <sz val="9"/>
            <color indexed="81"/>
            <rFont val="Tahoma"/>
            <family val="2"/>
            <charset val="186"/>
          </rPr>
          <t xml:space="preserve">
3082,70 m2</t>
        </r>
      </text>
    </comment>
  </commentList>
</comments>
</file>

<file path=xl/sharedStrings.xml><?xml version="1.0" encoding="utf-8"?>
<sst xmlns="http://schemas.openxmlformats.org/spreadsheetml/2006/main" count="155" uniqueCount="106">
  <si>
    <t>EKK</t>
  </si>
  <si>
    <t>Nosaukums</t>
  </si>
  <si>
    <t>"Zemenīte"</t>
  </si>
  <si>
    <t xml:space="preserve"> "Pasaciņa"</t>
  </si>
  <si>
    <t>"Vārpiņa"</t>
  </si>
  <si>
    <t>"Gaismiņa"</t>
  </si>
  <si>
    <t>"Lācītis"</t>
  </si>
  <si>
    <t>"Kamolītis"</t>
  </si>
  <si>
    <t>"Rotaļa"</t>
  </si>
  <si>
    <t>"Sprīdītis"</t>
  </si>
  <si>
    <t>"Ķipari"</t>
  </si>
  <si>
    <t>"Zīļuks"</t>
  </si>
  <si>
    <t>"Kāpēcīši"</t>
  </si>
  <si>
    <t>Atvaļinājuma pabalsts tieši iesaistītajām štata vienībām</t>
  </si>
  <si>
    <t>Izdevumi par apkuri</t>
  </si>
  <si>
    <t>Izdevumi par ūdeni un kanalizāciju</t>
  </si>
  <si>
    <t>Izdevumi par elektroenerģiju</t>
  </si>
  <si>
    <t>Izdevumi par atkritumu savākšanu, utilizāciju</t>
  </si>
  <si>
    <t>Izdevumi par pārējiem komunālajiem pakalpojumiem</t>
  </si>
  <si>
    <t>Ēku, būvju un telpu kārtējais remonts (2,5% apmērā)</t>
  </si>
  <si>
    <t>Iekārtas, inventāra un aparatūras remonts, tehniskā apkalpošana</t>
  </si>
  <si>
    <t>Ēku, būvju un telpu uzturēšana</t>
  </si>
  <si>
    <t>Ēkas apdrošināšana</t>
  </si>
  <si>
    <t>Pārējie remontdarbu un iestāžu uzturēšanas pakalpojumi</t>
  </si>
  <si>
    <t>Zemes noma</t>
  </si>
  <si>
    <t>Inventārs</t>
  </si>
  <si>
    <t>Kārtējā remonta un iestāžu uzturēšanas materiāli</t>
  </si>
  <si>
    <t>Budžeta iestāžu nekustamā īpašuma nodokļa maksājumi budžetā</t>
  </si>
  <si>
    <t>Kapitālais remonts un rekonstrukcija  (2,5% apmērā)</t>
  </si>
  <si>
    <t>-</t>
  </si>
  <si>
    <t>Tizm, gadā</t>
  </si>
  <si>
    <r>
      <t>Kopējā telpu platība, m</t>
    </r>
    <r>
      <rPr>
        <vertAlign val="superscript"/>
        <sz val="10"/>
        <rFont val="Times New Roman"/>
        <family val="1"/>
        <charset val="186"/>
      </rPr>
      <t>2</t>
    </r>
  </si>
  <si>
    <r>
      <t>Tizm uz 1 m</t>
    </r>
    <r>
      <rPr>
        <b/>
        <vertAlign val="superscript"/>
        <sz val="10"/>
        <rFont val="Times New Roman"/>
        <family val="1"/>
        <charset val="186"/>
      </rPr>
      <t>2</t>
    </r>
    <r>
      <rPr>
        <b/>
        <sz val="10"/>
        <rFont val="Times New Roman"/>
        <family val="1"/>
        <charset val="186"/>
      </rPr>
      <t xml:space="preserve">, </t>
    </r>
    <r>
      <rPr>
        <b/>
        <i/>
        <sz val="10"/>
        <rFont val="Times New Roman"/>
        <family val="1"/>
        <charset val="186"/>
      </rPr>
      <t>euro</t>
    </r>
    <r>
      <rPr>
        <b/>
        <sz val="10"/>
        <rFont val="Times New Roman"/>
        <family val="1"/>
        <charset val="186"/>
      </rPr>
      <t>/gadā</t>
    </r>
  </si>
  <si>
    <t>Pārējie sakaru pakalpojumi</t>
  </si>
  <si>
    <t>Pārējie iestādes administratīvie izdevumi</t>
  </si>
  <si>
    <t>Informācijas sistēmas uzturēšana</t>
  </si>
  <si>
    <t>Ēku, telpu īre un noma</t>
  </si>
  <si>
    <t>Biroja preces</t>
  </si>
  <si>
    <t>Spectērpi</t>
  </si>
  <si>
    <t>Pamatlīdzekļu (ēkas) nolietojuma summa gadā (2016)</t>
  </si>
  <si>
    <t>Nizm, gadā</t>
  </si>
  <si>
    <r>
      <t>Koeficients</t>
    </r>
    <r>
      <rPr>
        <sz val="10"/>
        <rFont val="Times New Roman"/>
        <family val="1"/>
        <charset val="186"/>
      </rPr>
      <t xml:space="preserve"> (īpatsvars)</t>
    </r>
  </si>
  <si>
    <r>
      <t>Nizm uz 1 m</t>
    </r>
    <r>
      <rPr>
        <b/>
        <vertAlign val="superscript"/>
        <sz val="10"/>
        <rFont val="Times New Roman"/>
        <family val="1"/>
        <charset val="186"/>
      </rPr>
      <t>2</t>
    </r>
    <r>
      <rPr>
        <b/>
        <sz val="10"/>
        <rFont val="Times New Roman"/>
        <family val="1"/>
        <charset val="186"/>
      </rPr>
      <t xml:space="preserve">, </t>
    </r>
    <r>
      <rPr>
        <b/>
        <i/>
        <sz val="10"/>
        <rFont val="Times New Roman"/>
        <family val="1"/>
        <charset val="186"/>
      </rPr>
      <t>euro</t>
    </r>
    <r>
      <rPr>
        <b/>
        <sz val="10"/>
        <rFont val="Times New Roman"/>
        <family val="1"/>
        <charset val="186"/>
      </rPr>
      <t>/gadā</t>
    </r>
  </si>
  <si>
    <t>Rādītājs</t>
  </si>
  <si>
    <t>Iznomājamās stundas mēnesī, h</t>
  </si>
  <si>
    <t>Telpu nomas maksas aprēķins Jelgavas pilsētas pašvaldības vispārējās izglītības iestādēs</t>
  </si>
  <si>
    <t>Pašvaldības budžeta plāns 2017.gadam</t>
  </si>
  <si>
    <t>Jelgavas Tehnoloģiju vidusskola</t>
  </si>
  <si>
    <t xml:space="preserve">Jelgavas Valsts ģimnāzija </t>
  </si>
  <si>
    <t xml:space="preserve">Jelgavas           4. vidusskola </t>
  </si>
  <si>
    <t xml:space="preserve">Jelgavas           5. vidusskola </t>
  </si>
  <si>
    <t xml:space="preserve">Jelgavas Spīdolas ģimnāzija </t>
  </si>
  <si>
    <t xml:space="preserve">Jelgavas            2. pamatskola </t>
  </si>
  <si>
    <t>Jelgavas             3. sākumskola</t>
  </si>
  <si>
    <t>Jelgavas              4. sākumskola</t>
  </si>
  <si>
    <t xml:space="preserve">Jelgavas Vakara (maiņu) vsk. </t>
  </si>
  <si>
    <t>Pamatlīdzekļu nolietojuma summa gadā (2016)</t>
  </si>
  <si>
    <r>
      <t>Tizm + Nizm uz 1 m</t>
    </r>
    <r>
      <rPr>
        <vertAlign val="superscript"/>
        <sz val="10"/>
        <rFont val="Times New Roman"/>
        <family val="1"/>
        <charset val="186"/>
      </rPr>
      <t>2</t>
    </r>
    <r>
      <rPr>
        <sz val="10"/>
        <rFont val="Times New Roman"/>
        <family val="1"/>
        <charset val="186"/>
      </rPr>
      <t>, gadā</t>
    </r>
  </si>
  <si>
    <r>
      <t>Maksa par 1 m</t>
    </r>
    <r>
      <rPr>
        <b/>
        <vertAlign val="superscript"/>
        <sz val="10"/>
        <rFont val="Times New Roman"/>
        <family val="1"/>
        <charset val="186"/>
      </rPr>
      <t>2</t>
    </r>
    <r>
      <rPr>
        <b/>
        <sz val="10"/>
        <rFont val="Times New Roman"/>
        <family val="1"/>
        <charset val="186"/>
      </rPr>
      <t xml:space="preserve"> mēnesī </t>
    </r>
    <r>
      <rPr>
        <sz val="10"/>
        <rFont val="Times New Roman"/>
        <family val="1"/>
        <charset val="186"/>
      </rPr>
      <t xml:space="preserve">(bez PVN), </t>
    </r>
    <r>
      <rPr>
        <i/>
        <sz val="10"/>
        <rFont val="Times New Roman"/>
        <family val="1"/>
        <charset val="186"/>
      </rPr>
      <t>euro</t>
    </r>
  </si>
  <si>
    <t>Tizm + Nizm uz 1 m2, euro/mēnesī (bez PVN)</t>
  </si>
  <si>
    <t>Cena euro/h (bez PVN)</t>
  </si>
  <si>
    <t>Vidējā cena euro/h (bez PVN)</t>
  </si>
  <si>
    <t xml:space="preserve">Jelgavas 5. vidusskola </t>
  </si>
  <si>
    <t xml:space="preserve">Jelgavas 4. vidusskola </t>
  </si>
  <si>
    <t xml:space="preserve">Jelgavas 6. vidusskola </t>
  </si>
  <si>
    <t xml:space="preserve">Jelgavas 2. pamatskola </t>
  </si>
  <si>
    <t>Jelgavas 3. sākumskola</t>
  </si>
  <si>
    <t>Jelgavas 4. sākumskola</t>
  </si>
  <si>
    <t>Jelgavas Mākslas skola</t>
  </si>
  <si>
    <t>Jelgavas Amatu vidusskola</t>
  </si>
  <si>
    <t>Bērnu un jauniešu centrs "Junda"</t>
  </si>
  <si>
    <t>Tiešās izmaksas (Tizm)*</t>
  </si>
  <si>
    <t>Netiešās izmaksas (Nizm)*</t>
  </si>
  <si>
    <t>Iestāžu darbinieku mēnešalga (apkopēja, sētnieks, remontstrādnieks, palīgstrādnieks, tehniskais strādnieks, ēkas/teritorijas uzraugs)</t>
  </si>
  <si>
    <t>Samaksa par virsstundu darbu un darbu svētku dienās (ēkas/teritorijas uzraugs)</t>
  </si>
  <si>
    <t>Darba devēja valsts sociālās apdrošināšanas obligātās iemaksas (apkopēja, sētnieks, remontstrādnieks, palīgstrādnieks, ēkas/teritorijas uzraugs)</t>
  </si>
  <si>
    <t>Iestāžu darbinieku mēnešalga (administrācija - direktors, direktora vietnieks/i saimnieciskajā darbā)</t>
  </si>
  <si>
    <t>Darba devēja valsts sociālās apdrošināšanas obligātās iemaksas (administrācija - direktors, direktora vietnieks/i saimnieciskajā darbā)</t>
  </si>
  <si>
    <t>* Aprēķinos izmantoti 2017. gada budžata projekta dati uz 06.12.2016.; aprēķinā iekļautas plānotās izmaksas 2017. gadā no maksas pakalpojumu ieņēmumiem.</t>
  </si>
  <si>
    <t>Piemaksa par nakts darbu (ēkas/ teritorijas uzraugs)</t>
  </si>
  <si>
    <t>Piemaksa par papildu darbu (direktora vietniekam saimnieciskajā darbā par papildus darba aizsardzības pienākumu veikšanu)</t>
  </si>
  <si>
    <t xml:space="preserve">Sagatavoja                                                   </t>
  </si>
  <si>
    <t>D.Bertašus</t>
  </si>
  <si>
    <t>Aktu zāles nomas maksa vispārējās izglītības iestādēs</t>
  </si>
  <si>
    <t>12.12.2016.</t>
  </si>
  <si>
    <r>
      <t>Iznomājamās telpas platība, m</t>
    </r>
    <r>
      <rPr>
        <vertAlign val="superscript"/>
        <sz val="12"/>
        <rFont val="Times New Roman"/>
        <family val="1"/>
        <charset val="186"/>
      </rPr>
      <t>2</t>
    </r>
  </si>
  <si>
    <t>Nav datu</t>
  </si>
  <si>
    <t xml:space="preserve">Jelgavas 3. sākumskola </t>
  </si>
  <si>
    <t xml:space="preserve">Jelgavas 4. sākumskola </t>
  </si>
  <si>
    <t>Sporta zāles nomas maksa vispārējās izglītības iestādēs</t>
  </si>
  <si>
    <r>
      <t>Vispārējās izglītības iestādes ar sporta zālēm, kuru platība ir līdz 350 m</t>
    </r>
    <r>
      <rPr>
        <i/>
        <vertAlign val="superscript"/>
        <sz val="14"/>
        <color indexed="8"/>
        <rFont val="Times New Roman"/>
        <family val="1"/>
        <charset val="186"/>
      </rPr>
      <t>2</t>
    </r>
  </si>
  <si>
    <r>
      <t>Vispārējās izglītības iestādes ar sporta zālēm, kuru platība ir virs 350 m</t>
    </r>
    <r>
      <rPr>
        <i/>
        <vertAlign val="superscript"/>
        <sz val="14"/>
        <color indexed="8"/>
        <rFont val="Times New Roman"/>
        <family val="1"/>
        <charset val="186"/>
      </rPr>
      <t>2</t>
    </r>
  </si>
  <si>
    <r>
      <t>Platība, m</t>
    </r>
    <r>
      <rPr>
        <b/>
        <vertAlign val="superscript"/>
        <sz val="12"/>
        <color indexed="8"/>
        <rFont val="Times New Roman"/>
        <family val="1"/>
        <charset val="186"/>
      </rPr>
      <t>2</t>
    </r>
  </si>
  <si>
    <r>
      <t>Tizm + Nizm uz 1 m</t>
    </r>
    <r>
      <rPr>
        <b/>
        <vertAlign val="superscript"/>
        <sz val="12"/>
        <color indexed="8"/>
        <rFont val="Times New Roman"/>
        <family val="1"/>
        <charset val="186"/>
      </rPr>
      <t>2</t>
    </r>
    <r>
      <rPr>
        <b/>
        <sz val="12"/>
        <color indexed="8"/>
        <rFont val="Times New Roman"/>
        <family val="1"/>
        <charset val="186"/>
      </rPr>
      <t>, euro/mēnesī (bez PVN)</t>
    </r>
  </si>
  <si>
    <r>
      <t>Maksa par vispārējās izglītības iestādes aktu zāles līdz 350 m</t>
    </r>
    <r>
      <rPr>
        <vertAlign val="superscript"/>
        <sz val="14"/>
        <rFont val="Times New Roman"/>
        <family val="1"/>
        <charset val="186"/>
      </rPr>
      <t>2</t>
    </r>
    <r>
      <rPr>
        <sz val="14"/>
        <rFont val="Times New Roman"/>
        <family val="1"/>
        <charset val="186"/>
      </rPr>
      <t xml:space="preserve"> (ieskaitot) nomu stundā, ja pieņem, ka aktu zāli iznomā 80h mēnesī, </t>
    </r>
    <r>
      <rPr>
        <i/>
        <sz val="14"/>
        <rFont val="Times New Roman"/>
        <family val="1"/>
        <charset val="186"/>
      </rPr>
      <t>euro</t>
    </r>
  </si>
  <si>
    <r>
      <t>Maksa par vispārējās izglītības iestādes aktu zāles līdz 250 m</t>
    </r>
    <r>
      <rPr>
        <vertAlign val="superscript"/>
        <sz val="14"/>
        <rFont val="Times New Roman"/>
        <family val="1"/>
        <charset val="186"/>
      </rPr>
      <t>2</t>
    </r>
    <r>
      <rPr>
        <sz val="14"/>
        <rFont val="Times New Roman"/>
        <family val="1"/>
        <charset val="186"/>
      </rPr>
      <t xml:space="preserve"> (ieskaitot) nomu stundā, ja pieņem, ka aktu zāli iznomā 80h mēnesī, </t>
    </r>
    <r>
      <rPr>
        <i/>
        <sz val="14"/>
        <rFont val="Times New Roman"/>
        <family val="1"/>
        <charset val="186"/>
      </rPr>
      <t>euro</t>
    </r>
  </si>
  <si>
    <r>
      <t>Maksa par vispārējās izglītības iestādes aktu zāles virs 250 m</t>
    </r>
    <r>
      <rPr>
        <vertAlign val="superscript"/>
        <sz val="14"/>
        <rFont val="Times New Roman"/>
        <family val="1"/>
        <charset val="186"/>
      </rPr>
      <t>2</t>
    </r>
    <r>
      <rPr>
        <sz val="14"/>
        <rFont val="Times New Roman"/>
        <family val="1"/>
        <charset val="186"/>
      </rPr>
      <t xml:space="preserve"> nomu stundā, ja pieņem, ka aktu zāli iznomā 80h mēnesī, </t>
    </r>
    <r>
      <rPr>
        <i/>
        <sz val="14"/>
        <rFont val="Times New Roman"/>
        <family val="1"/>
        <charset val="186"/>
      </rPr>
      <t>euro</t>
    </r>
  </si>
  <si>
    <r>
      <t>Maksa par vispārējās izglītības iestādes aktu zāles virs 350 m</t>
    </r>
    <r>
      <rPr>
        <vertAlign val="superscript"/>
        <sz val="14"/>
        <rFont val="Times New Roman"/>
        <family val="1"/>
        <charset val="186"/>
      </rPr>
      <t>2</t>
    </r>
    <r>
      <rPr>
        <sz val="14"/>
        <rFont val="Times New Roman"/>
        <family val="1"/>
        <charset val="186"/>
      </rPr>
      <t xml:space="preserve"> nomu stundā, ja pieņem, ka aktu zāli iznomā 80h mēnesī, </t>
    </r>
    <r>
      <rPr>
        <i/>
        <sz val="14"/>
        <rFont val="Times New Roman"/>
        <family val="1"/>
        <charset val="186"/>
      </rPr>
      <t>euro</t>
    </r>
  </si>
  <si>
    <t xml:space="preserve">* Sporta zāle PII "Rotaļa" un PII " Kāpēcīši" </t>
  </si>
  <si>
    <t>Aktu zāles, sporta zāles* nomas maksa pirmsskolas izglītības iestādēs</t>
  </si>
  <si>
    <r>
      <t>Maksa par pirmsskolas aktu zāles līdz 70 m</t>
    </r>
    <r>
      <rPr>
        <vertAlign val="superscript"/>
        <sz val="14"/>
        <rFont val="Times New Roman"/>
        <family val="1"/>
        <charset val="186"/>
      </rPr>
      <t>2</t>
    </r>
    <r>
      <rPr>
        <sz val="14"/>
        <rFont val="Times New Roman"/>
        <family val="1"/>
        <charset val="186"/>
      </rPr>
      <t xml:space="preserve"> (ieskaitot) nomu stundā, ja pieņem, ka aktu zāli iznomā 50h mēnesī, t.i., 2,5h darba dienā, </t>
    </r>
    <r>
      <rPr>
        <i/>
        <sz val="14"/>
        <rFont val="Times New Roman"/>
        <family val="1"/>
        <charset val="186"/>
      </rPr>
      <t>euro</t>
    </r>
  </si>
  <si>
    <r>
      <t>Maksa par pirmsskolas aktu zāles virs 70 m</t>
    </r>
    <r>
      <rPr>
        <vertAlign val="superscript"/>
        <sz val="14"/>
        <rFont val="Times New Roman"/>
        <family val="1"/>
        <charset val="186"/>
      </rPr>
      <t>2</t>
    </r>
    <r>
      <rPr>
        <sz val="14"/>
        <rFont val="Times New Roman"/>
        <family val="1"/>
        <charset val="186"/>
      </rPr>
      <t xml:space="preserve"> nomu stundā, ja pieņem, ka aktu zāli iznomā 50h mēnesī, t.i., 2,5h darba dienā, </t>
    </r>
    <r>
      <rPr>
        <i/>
        <sz val="14"/>
        <rFont val="Times New Roman"/>
        <family val="1"/>
        <charset val="186"/>
      </rPr>
      <t>euro</t>
    </r>
  </si>
  <si>
    <t>(saskaņā ar Ministru kabineta 2010.gada 8.jūnija noteikumiem Nr.515 „Noteikumi par valsts un pašvaldību mantas iznomāšanas kārtību, nomas maksas noteikšanas metodiku un nomas līguma tipveida nosacījumiem”, Jelgavas pilsētas pašvaldības iestādes „Jelgavas izglītības pārvalde” telpu nomas maksas aprēķināšanas noteikumiem)</t>
  </si>
  <si>
    <t>JIP_auza_03_p_01</t>
  </si>
  <si>
    <t>Pieaugums pret 2016. gadu, %</t>
  </si>
  <si>
    <r>
      <t>2016.gada maksa par 1 m</t>
    </r>
    <r>
      <rPr>
        <vertAlign val="superscript"/>
        <sz val="10"/>
        <rFont val="Times New Roman"/>
        <family val="1"/>
        <charset val="186"/>
      </rPr>
      <t>2</t>
    </r>
    <r>
      <rPr>
        <sz val="10"/>
        <rFont val="Times New Roman"/>
        <family val="1"/>
        <charset val="186"/>
      </rPr>
      <t xml:space="preserve"> mēnesī (bez PVN), EUR</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</si>
</sst>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quot;Ls&quot;\ * #,##0.00_-;\-&quot;Ls&quot;\ * #,##0.00_-;_-&quot;Ls&quot;\ * &quot;-&quot;??_-;_-@_-"/>
    <numFmt numFmtId="165" formatCode="0.0"/>
    <numFmt numFmtId="166" formatCode="0.000"/>
    <numFmt numFmtId="167" formatCode="_(* #,##0.00_);_(* \(#,##0.00\);_(* &quot;-&quot;??_);_(@_)"/>
    <numFmt numFmtId="168" formatCode="_(* #,##0_);_(* \(#,##0\);_(* &quot;-&quot;??_);_(@_)"/>
  </numFmts>
  <fonts count="38" x14ac:knownFonts="1">
    <font>
      <sz val="11"/>
      <color indexed="8"/>
      <name val="Calibri"/>
      <family val="2"/>
    </font>
    <font>
      <sz val="11"/>
      <color theme="1"/>
      <name val="Calibri"/>
      <family val="2"/>
      <charset val="186"/>
      <scheme val="minor"/>
    </font>
    <font>
      <sz val="10"/>
      <name val="Arial"/>
      <family val="2"/>
      <charset val="186"/>
    </font>
    <font>
      <sz val="10"/>
      <name val="Times New Roman"/>
      <family val="1"/>
      <charset val="186"/>
    </font>
    <font>
      <sz val="11"/>
      <color indexed="8"/>
      <name val="Calibri"/>
      <family val="2"/>
    </font>
    <font>
      <b/>
      <sz val="11"/>
      <name val="Times New Roman"/>
      <family val="1"/>
      <charset val="186"/>
    </font>
    <font>
      <sz val="11"/>
      <name val="Times New Roman"/>
      <family val="1"/>
      <charset val="186"/>
    </font>
    <font>
      <b/>
      <sz val="10"/>
      <name val="Times New Roman"/>
      <family val="1"/>
      <charset val="186"/>
    </font>
    <font>
      <vertAlign val="superscript"/>
      <sz val="10"/>
      <name val="Times New Roman"/>
      <family val="1"/>
      <charset val="186"/>
    </font>
    <font>
      <b/>
      <vertAlign val="superscript"/>
      <sz val="10"/>
      <name val="Times New Roman"/>
      <family val="1"/>
      <charset val="186"/>
    </font>
    <font>
      <b/>
      <i/>
      <sz val="10"/>
      <name val="Times New Roman"/>
      <family val="1"/>
      <charset val="186"/>
    </font>
    <font>
      <b/>
      <sz val="10"/>
      <name val="Arial"/>
      <family val="2"/>
      <charset val="186"/>
    </font>
    <font>
      <i/>
      <sz val="10"/>
      <name val="Times New Roman"/>
      <family val="1"/>
      <charset val="186"/>
    </font>
    <font>
      <b/>
      <sz val="9"/>
      <color indexed="81"/>
      <name val="Tahoma"/>
      <family val="2"/>
      <charset val="186"/>
    </font>
    <font>
      <sz val="9"/>
      <color indexed="81"/>
      <name val="Tahoma"/>
      <family val="2"/>
      <charset val="186"/>
    </font>
    <font>
      <b/>
      <sz val="13"/>
      <name val="Times New Roman"/>
      <family val="1"/>
      <charset val="186"/>
    </font>
    <font>
      <sz val="12"/>
      <name val="Times New Roman"/>
      <family val="1"/>
      <charset val="186"/>
    </font>
    <font>
      <b/>
      <sz val="10"/>
      <color indexed="8"/>
      <name val="Times New Roman"/>
      <family val="1"/>
      <charset val="186"/>
    </font>
    <font>
      <b/>
      <sz val="12"/>
      <name val="Times New Roman"/>
      <family val="1"/>
      <charset val="186"/>
    </font>
    <font>
      <sz val="12"/>
      <color indexed="8"/>
      <name val="Times New Roman"/>
      <family val="1"/>
      <charset val="186"/>
    </font>
    <font>
      <b/>
      <sz val="16"/>
      <name val="Times New Roman"/>
      <family val="1"/>
      <charset val="186"/>
    </font>
    <font>
      <b/>
      <sz val="10"/>
      <color rgb="FFFF0000"/>
      <name val="Arial"/>
      <family val="2"/>
      <charset val="186"/>
    </font>
    <font>
      <b/>
      <sz val="14"/>
      <name val="Times New Roman"/>
      <family val="1"/>
      <charset val="186"/>
    </font>
    <font>
      <b/>
      <u/>
      <sz val="16"/>
      <name val="Times New Roman"/>
      <family val="1"/>
      <charset val="186"/>
    </font>
    <font>
      <vertAlign val="superscript"/>
      <sz val="12"/>
      <name val="Times New Roman"/>
      <family val="1"/>
      <charset val="186"/>
    </font>
    <font>
      <b/>
      <sz val="12"/>
      <color indexed="8"/>
      <name val="Times New Roman"/>
      <family val="1"/>
      <charset val="186"/>
    </font>
    <font>
      <sz val="14"/>
      <name val="Times New Roman"/>
      <family val="1"/>
      <charset val="186"/>
    </font>
    <font>
      <b/>
      <i/>
      <sz val="16"/>
      <name val="Times New Roman"/>
      <family val="1"/>
      <charset val="186"/>
    </font>
    <font>
      <vertAlign val="superscript"/>
      <sz val="14"/>
      <name val="Times New Roman"/>
      <family val="1"/>
      <charset val="186"/>
    </font>
    <font>
      <i/>
      <sz val="14"/>
      <name val="Times New Roman"/>
      <family val="1"/>
      <charset val="186"/>
    </font>
    <font>
      <i/>
      <sz val="14"/>
      <color indexed="8"/>
      <name val="Times New Roman"/>
      <family val="1"/>
      <charset val="186"/>
    </font>
    <font>
      <i/>
      <vertAlign val="superscript"/>
      <sz val="14"/>
      <color indexed="8"/>
      <name val="Times New Roman"/>
      <family val="1"/>
      <charset val="186"/>
    </font>
    <font>
      <sz val="14"/>
      <color indexed="8"/>
      <name val="Calibri"/>
      <family val="2"/>
    </font>
    <font>
      <sz val="14"/>
      <name val="Arial"/>
      <family val="2"/>
      <charset val="186"/>
    </font>
    <font>
      <sz val="14"/>
      <color indexed="8"/>
      <name val="Times New Roman"/>
      <family val="1"/>
      <charset val="186"/>
    </font>
    <font>
      <sz val="12"/>
      <name val="Arial"/>
      <family val="2"/>
      <charset val="186"/>
    </font>
    <font>
      <b/>
      <vertAlign val="superscript"/>
      <sz val="12"/>
      <color indexed="8"/>
      <name val="Times New Roman"/>
      <family val="1"/>
      <charset val="186"/>
    </font>
    <font>
      <i/>
      <sz val="12"/>
      <color indexed="8"/>
      <name val="Times New Roman"/>
      <family val="1"/>
      <charset val="186"/>
    </font>
  </fonts>
  <fills count="5">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9" tint="0.39997558519241921"/>
        <bgColor indexed="64"/>
      </patternFill>
    </fill>
  </fills>
  <borders count="46">
    <border>
      <left/>
      <right/>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top style="medium">
        <color indexed="64"/>
      </top>
      <bottom style="medium">
        <color indexed="64"/>
      </bottom>
      <diagonal/>
    </border>
    <border>
      <left style="thin">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2">
    <xf numFmtId="0" fontId="0" fillId="0" borderId="0"/>
    <xf numFmtId="0" fontId="2" fillId="0" borderId="0"/>
    <xf numFmtId="0" fontId="4"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2" fillId="0" borderId="0" applyFont="0" applyFill="0" applyBorder="0" applyAlignment="0" applyProtection="0"/>
  </cellStyleXfs>
  <cellXfs count="222">
    <xf numFmtId="0" fontId="0" fillId="0" borderId="0" xfId="0"/>
    <xf numFmtId="0" fontId="2" fillId="0" borderId="0" xfId="1"/>
    <xf numFmtId="0" fontId="2" fillId="0" borderId="0" xfId="1" applyBorder="1"/>
    <xf numFmtId="0" fontId="7" fillId="2" borderId="1" xfId="1" applyFont="1" applyFill="1" applyBorder="1" applyAlignment="1">
      <alignment horizontal="center" vertical="center"/>
    </xf>
    <xf numFmtId="0" fontId="7" fillId="2" borderId="2" xfId="1" applyFont="1" applyFill="1" applyBorder="1" applyAlignment="1">
      <alignment horizontal="center" vertical="center"/>
    </xf>
    <xf numFmtId="0" fontId="7" fillId="2" borderId="3" xfId="0" applyFont="1" applyFill="1" applyBorder="1" applyAlignment="1">
      <alignment horizontal="center" vertical="center" wrapText="1"/>
    </xf>
    <xf numFmtId="0" fontId="7" fillId="2" borderId="3" xfId="1" applyFont="1" applyFill="1" applyBorder="1" applyAlignment="1">
      <alignment horizontal="center" vertical="center" wrapText="1"/>
    </xf>
    <xf numFmtId="0" fontId="7" fillId="2" borderId="4" xfId="1" applyFont="1" applyFill="1" applyBorder="1" applyAlignment="1">
      <alignment horizontal="center" vertical="center" wrapText="1"/>
    </xf>
    <xf numFmtId="0" fontId="3" fillId="0" borderId="8" xfId="1" applyFont="1" applyBorder="1" applyAlignment="1">
      <alignment horizontal="center" vertical="center"/>
    </xf>
    <xf numFmtId="0" fontId="3" fillId="0" borderId="9" xfId="1" applyFont="1" applyBorder="1" applyAlignment="1">
      <alignment horizontal="left" vertical="center" wrapText="1"/>
    </xf>
    <xf numFmtId="3" fontId="6" fillId="0" borderId="9" xfId="1" applyNumberFormat="1" applyFont="1" applyFill="1" applyBorder="1" applyAlignment="1">
      <alignment horizontal="center" vertical="center"/>
    </xf>
    <xf numFmtId="0" fontId="3" fillId="0" borderId="9" xfId="0" applyFont="1" applyFill="1" applyBorder="1" applyAlignment="1">
      <alignment horizontal="left" vertical="top" wrapText="1"/>
    </xf>
    <xf numFmtId="0" fontId="3" fillId="0" borderId="9" xfId="0" applyFont="1" applyBorder="1" applyAlignment="1">
      <alignment horizontal="left" vertical="center" wrapText="1"/>
    </xf>
    <xf numFmtId="0" fontId="6" fillId="0" borderId="14" xfId="1" applyFont="1" applyBorder="1" applyAlignment="1">
      <alignment horizontal="center" vertical="center"/>
    </xf>
    <xf numFmtId="0" fontId="6" fillId="0" borderId="15" xfId="1" applyFont="1" applyBorder="1" applyAlignment="1">
      <alignment horizontal="left" vertical="center" wrapText="1"/>
    </xf>
    <xf numFmtId="3" fontId="6" fillId="0" borderId="16" xfId="1" applyNumberFormat="1" applyFont="1" applyFill="1" applyBorder="1" applyAlignment="1">
      <alignment horizontal="center" vertical="center"/>
    </xf>
    <xf numFmtId="0" fontId="2" fillId="0" borderId="0" xfId="1" applyFont="1"/>
    <xf numFmtId="3" fontId="6" fillId="0" borderId="23" xfId="1" applyNumberFormat="1" applyFont="1" applyFill="1" applyBorder="1" applyAlignment="1">
      <alignment horizontal="center" vertical="center"/>
    </xf>
    <xf numFmtId="3" fontId="6" fillId="0" borderId="0" xfId="1" applyNumberFormat="1" applyFont="1" applyFill="1" applyBorder="1" applyAlignment="1">
      <alignment horizontal="center" vertical="center"/>
    </xf>
    <xf numFmtId="0" fontId="6" fillId="0" borderId="10" xfId="1" applyFont="1" applyFill="1" applyBorder="1" applyAlignment="1">
      <alignment horizontal="center" vertical="center"/>
    </xf>
    <xf numFmtId="165" fontId="6" fillId="0" borderId="11" xfId="1" applyNumberFormat="1" applyFont="1" applyFill="1" applyBorder="1" applyAlignment="1">
      <alignment horizontal="center" vertical="center"/>
    </xf>
    <xf numFmtId="4" fontId="5" fillId="0" borderId="9" xfId="1" applyNumberFormat="1" applyFont="1" applyFill="1" applyBorder="1" applyAlignment="1">
      <alignment horizontal="center" vertical="center"/>
    </xf>
    <xf numFmtId="4" fontId="5" fillId="0" borderId="13" xfId="1" applyNumberFormat="1" applyFont="1" applyFill="1" applyBorder="1" applyAlignment="1">
      <alignment horizontal="center" vertical="center"/>
    </xf>
    <xf numFmtId="4" fontId="5" fillId="0" borderId="12" xfId="1" applyNumberFormat="1" applyFont="1" applyFill="1" applyBorder="1" applyAlignment="1">
      <alignment horizontal="center" vertical="center"/>
    </xf>
    <xf numFmtId="0" fontId="11" fillId="0" borderId="0" xfId="1" applyFont="1"/>
    <xf numFmtId="0" fontId="3" fillId="0" borderId="9" xfId="1" applyFont="1" applyFill="1" applyBorder="1" applyAlignment="1">
      <alignment horizontal="left" vertical="center" wrapText="1"/>
    </xf>
    <xf numFmtId="0" fontId="6" fillId="0" borderId="10" xfId="1" applyNumberFormat="1" applyFont="1" applyFill="1" applyBorder="1" applyAlignment="1">
      <alignment horizontal="center" vertical="center"/>
    </xf>
    <xf numFmtId="166" fontId="6" fillId="0" borderId="10" xfId="1" applyNumberFormat="1" applyFont="1" applyFill="1" applyBorder="1" applyAlignment="1">
      <alignment horizontal="center" vertical="center"/>
    </xf>
    <xf numFmtId="0" fontId="6" fillId="0" borderId="7" xfId="1" applyNumberFormat="1" applyFont="1" applyFill="1" applyBorder="1" applyAlignment="1">
      <alignment horizontal="center" vertical="center"/>
    </xf>
    <xf numFmtId="2" fontId="5" fillId="0" borderId="9" xfId="1" applyNumberFormat="1" applyFont="1" applyFill="1" applyBorder="1" applyAlignment="1">
      <alignment horizontal="center" vertical="center"/>
    </xf>
    <xf numFmtId="2" fontId="5" fillId="0" borderId="13" xfId="1" applyNumberFormat="1" applyFont="1" applyFill="1" applyBorder="1" applyAlignment="1">
      <alignment horizontal="center" vertical="center"/>
    </xf>
    <xf numFmtId="2" fontId="5" fillId="0" borderId="12" xfId="1" applyNumberFormat="1" applyFont="1" applyFill="1" applyBorder="1" applyAlignment="1">
      <alignment horizontal="center" vertical="center"/>
    </xf>
    <xf numFmtId="2" fontId="6" fillId="0" borderId="23" xfId="1" applyNumberFormat="1" applyFont="1" applyFill="1" applyBorder="1" applyAlignment="1">
      <alignment horizontal="center" vertical="center"/>
    </xf>
    <xf numFmtId="2" fontId="6" fillId="0" borderId="25" xfId="1" applyNumberFormat="1" applyFont="1" applyFill="1" applyBorder="1" applyAlignment="1">
      <alignment horizontal="center" vertical="center"/>
    </xf>
    <xf numFmtId="2" fontId="6" fillId="0" borderId="26" xfId="1" applyNumberFormat="1" applyFont="1" applyFill="1" applyBorder="1" applyAlignment="1">
      <alignment horizontal="center" vertical="center"/>
    </xf>
    <xf numFmtId="2" fontId="5" fillId="2" borderId="3" xfId="1" applyNumberFormat="1" applyFont="1" applyFill="1" applyBorder="1" applyAlignment="1">
      <alignment horizontal="center" vertical="center"/>
    </xf>
    <xf numFmtId="2" fontId="5" fillId="2" borderId="20" xfId="1" applyNumberFormat="1" applyFont="1" applyFill="1" applyBorder="1" applyAlignment="1">
      <alignment horizontal="center" vertical="center"/>
    </xf>
    <xf numFmtId="2" fontId="5" fillId="2" borderId="4" xfId="1" applyNumberFormat="1" applyFont="1" applyFill="1" applyBorder="1" applyAlignment="1">
      <alignment horizontal="center" vertical="center"/>
    </xf>
    <xf numFmtId="0" fontId="11" fillId="0" borderId="0" xfId="1" applyFont="1" applyAlignment="1">
      <alignment vertical="center"/>
    </xf>
    <xf numFmtId="2" fontId="11" fillId="0" borderId="0" xfId="1" applyNumberFormat="1" applyFont="1" applyAlignment="1">
      <alignment vertical="center"/>
    </xf>
    <xf numFmtId="0" fontId="12" fillId="0" borderId="0" xfId="1" applyFont="1"/>
    <xf numFmtId="0" fontId="7" fillId="2" borderId="4" xfId="0" applyFont="1" applyFill="1" applyBorder="1" applyAlignment="1">
      <alignment horizontal="center" vertical="center" wrapText="1"/>
    </xf>
    <xf numFmtId="2" fontId="6" fillId="0" borderId="0" xfId="1" applyNumberFormat="1" applyFont="1" applyAlignment="1">
      <alignment horizontal="center"/>
    </xf>
    <xf numFmtId="0" fontId="16" fillId="0" borderId="0" xfId="1" applyFont="1" applyFill="1" applyAlignment="1">
      <alignment horizontal="center" vertical="center"/>
    </xf>
    <xf numFmtId="4" fontId="5" fillId="0" borderId="15" xfId="1" applyNumberFormat="1" applyFont="1" applyFill="1" applyBorder="1" applyAlignment="1">
      <alignment horizontal="center" vertical="center"/>
    </xf>
    <xf numFmtId="4" fontId="5" fillId="0" borderId="27" xfId="1" applyNumberFormat="1" applyFont="1" applyFill="1" applyBorder="1" applyAlignment="1">
      <alignment horizontal="center" vertical="center"/>
    </xf>
    <xf numFmtId="9" fontId="5" fillId="0" borderId="15" xfId="1" applyNumberFormat="1" applyFont="1" applyFill="1" applyBorder="1" applyAlignment="1">
      <alignment horizontal="center" vertical="center"/>
    </xf>
    <xf numFmtId="0" fontId="6" fillId="0" borderId="0" xfId="1" applyFont="1" applyAlignment="1">
      <alignment horizontal="right"/>
    </xf>
    <xf numFmtId="0" fontId="16" fillId="0" borderId="0" xfId="1" applyFont="1" applyBorder="1"/>
    <xf numFmtId="0" fontId="16" fillId="0" borderId="9" xfId="1" applyFont="1" applyBorder="1"/>
    <xf numFmtId="0" fontId="17" fillId="0" borderId="0" xfId="0" applyFont="1" applyFill="1" applyBorder="1" applyAlignment="1">
      <alignment horizontal="left" vertical="center" wrapText="1"/>
    </xf>
    <xf numFmtId="0" fontId="16" fillId="0" borderId="0" xfId="1" applyFont="1" applyBorder="1" applyAlignment="1">
      <alignment horizontal="right"/>
    </xf>
    <xf numFmtId="3" fontId="6" fillId="0" borderId="15" xfId="1" applyNumberFormat="1" applyFont="1" applyFill="1" applyBorder="1" applyAlignment="1">
      <alignment horizontal="center" vertical="center"/>
    </xf>
    <xf numFmtId="3" fontId="6" fillId="0" borderId="27" xfId="1" applyNumberFormat="1" applyFont="1" applyFill="1" applyBorder="1" applyAlignment="1">
      <alignment horizontal="center" vertical="center"/>
    </xf>
    <xf numFmtId="3" fontId="6" fillId="0" borderId="13" xfId="1" applyNumberFormat="1" applyFont="1" applyFill="1" applyBorder="1" applyAlignment="1">
      <alignment horizontal="center" vertical="center"/>
    </xf>
    <xf numFmtId="3" fontId="6" fillId="0" borderId="12" xfId="1" applyNumberFormat="1" applyFont="1" applyFill="1" applyBorder="1" applyAlignment="1">
      <alignment horizontal="center" vertical="center"/>
    </xf>
    <xf numFmtId="0" fontId="6" fillId="0" borderId="9" xfId="5" applyFont="1" applyFill="1" applyBorder="1" applyAlignment="1">
      <alignment horizontal="center"/>
    </xf>
    <xf numFmtId="0" fontId="6" fillId="0" borderId="12" xfId="1" applyFont="1" applyFill="1" applyBorder="1" applyAlignment="1">
      <alignment horizontal="center" vertical="center"/>
    </xf>
    <xf numFmtId="0" fontId="6" fillId="0" borderId="13" xfId="5" applyFont="1" applyFill="1" applyBorder="1" applyAlignment="1">
      <alignment horizontal="center"/>
    </xf>
    <xf numFmtId="0" fontId="6" fillId="0" borderId="9" xfId="1" applyFont="1" applyFill="1" applyBorder="1" applyAlignment="1">
      <alignment horizontal="center" vertical="center"/>
    </xf>
    <xf numFmtId="3" fontId="6" fillId="0" borderId="17" xfId="1" applyNumberFormat="1" applyFont="1" applyFill="1" applyBorder="1" applyAlignment="1">
      <alignment horizontal="center" vertical="center"/>
    </xf>
    <xf numFmtId="3" fontId="6" fillId="0" borderId="6" xfId="1" applyNumberFormat="1" applyFont="1" applyFill="1" applyBorder="1" applyAlignment="1">
      <alignment horizontal="center" vertical="center"/>
    </xf>
    <xf numFmtId="3" fontId="6" fillId="0" borderId="7" xfId="1" applyNumberFormat="1" applyFont="1" applyFill="1" applyBorder="1" applyAlignment="1">
      <alignment horizontal="center" vertical="center"/>
    </xf>
    <xf numFmtId="0" fontId="6" fillId="0" borderId="12" xfId="5" applyFont="1" applyFill="1" applyBorder="1" applyAlignment="1">
      <alignment horizontal="center"/>
    </xf>
    <xf numFmtId="3" fontId="6" fillId="0" borderId="32" xfId="1" applyNumberFormat="1" applyFont="1" applyFill="1" applyBorder="1" applyAlignment="1">
      <alignment horizontal="center" vertical="center"/>
    </xf>
    <xf numFmtId="0" fontId="6" fillId="0" borderId="9" xfId="0" applyFont="1" applyFill="1" applyBorder="1" applyAlignment="1">
      <alignment horizontal="center"/>
    </xf>
    <xf numFmtId="0" fontId="6" fillId="0" borderId="13" xfId="0" applyFont="1" applyFill="1" applyBorder="1" applyAlignment="1">
      <alignment horizontal="center"/>
    </xf>
    <xf numFmtId="3" fontId="6" fillId="0" borderId="9" xfId="1" applyNumberFormat="1" applyFont="1" applyBorder="1" applyAlignment="1">
      <alignment horizontal="center" vertical="center"/>
    </xf>
    <xf numFmtId="3" fontId="6" fillId="0" borderId="13" xfId="1" applyNumberFormat="1" applyFont="1" applyBorder="1" applyAlignment="1">
      <alignment horizontal="center" vertical="center"/>
    </xf>
    <xf numFmtId="0" fontId="6" fillId="0" borderId="9" xfId="0" applyFont="1" applyBorder="1" applyAlignment="1">
      <alignment horizontal="center"/>
    </xf>
    <xf numFmtId="0" fontId="6" fillId="0" borderId="13" xfId="0" applyFont="1" applyBorder="1" applyAlignment="1">
      <alignment horizontal="center"/>
    </xf>
    <xf numFmtId="0" fontId="6" fillId="3" borderId="9" xfId="0" applyFont="1" applyFill="1" applyBorder="1" applyAlignment="1">
      <alignment horizontal="center"/>
    </xf>
    <xf numFmtId="0" fontId="6" fillId="3" borderId="13" xfId="0" applyFont="1" applyFill="1" applyBorder="1" applyAlignment="1">
      <alignment horizontal="center"/>
    </xf>
    <xf numFmtId="1" fontId="6" fillId="0" borderId="9" xfId="5" applyNumberFormat="1" applyFont="1" applyFill="1" applyBorder="1" applyAlignment="1">
      <alignment horizontal="center"/>
    </xf>
    <xf numFmtId="0" fontId="6" fillId="0" borderId="18" xfId="0" applyFont="1" applyFill="1" applyBorder="1" applyAlignment="1">
      <alignment horizontal="center"/>
    </xf>
    <xf numFmtId="1" fontId="6" fillId="0" borderId="32" xfId="1" applyNumberFormat="1" applyFont="1" applyFill="1" applyBorder="1" applyAlignment="1">
      <alignment horizontal="center" vertical="center"/>
    </xf>
    <xf numFmtId="0" fontId="6" fillId="0" borderId="6" xfId="1" applyNumberFormat="1" applyFont="1" applyFill="1" applyBorder="1" applyAlignment="1">
      <alignment horizontal="center" vertical="center"/>
    </xf>
    <xf numFmtId="0" fontId="6" fillId="0" borderId="9" xfId="1" applyNumberFormat="1" applyFont="1" applyFill="1" applyBorder="1" applyAlignment="1">
      <alignment horizontal="center" vertical="center"/>
    </xf>
    <xf numFmtId="0" fontId="6" fillId="3" borderId="9" xfId="1" applyNumberFormat="1" applyFont="1" applyFill="1" applyBorder="1" applyAlignment="1">
      <alignment horizontal="center" vertical="center"/>
    </xf>
    <xf numFmtId="0" fontId="6" fillId="0" borderId="12" xfId="1" applyNumberFormat="1" applyFont="1" applyFill="1" applyBorder="1" applyAlignment="1">
      <alignment horizontal="center" vertical="center"/>
    </xf>
    <xf numFmtId="1" fontId="6" fillId="0" borderId="9" xfId="1" applyNumberFormat="1" applyFont="1" applyFill="1" applyBorder="1" applyAlignment="1">
      <alignment horizontal="center" vertical="center"/>
    </xf>
    <xf numFmtId="1" fontId="6" fillId="0" borderId="12" xfId="1" applyNumberFormat="1" applyFont="1" applyFill="1" applyBorder="1" applyAlignment="1">
      <alignment horizontal="center" vertical="center"/>
    </xf>
    <xf numFmtId="1" fontId="6" fillId="0" borderId="9" xfId="4" applyNumberFormat="1" applyFont="1" applyFill="1" applyBorder="1" applyAlignment="1">
      <alignment horizontal="center"/>
    </xf>
    <xf numFmtId="168" fontId="6" fillId="0" borderId="9" xfId="11" applyNumberFormat="1" applyFont="1" applyFill="1" applyBorder="1" applyAlignment="1"/>
    <xf numFmtId="0" fontId="6" fillId="0" borderId="9" xfId="1" applyFont="1" applyFill="1" applyBorder="1" applyAlignment="1">
      <alignment horizontal="center"/>
    </xf>
    <xf numFmtId="0" fontId="7" fillId="0" borderId="18" xfId="1" applyFont="1" applyFill="1" applyBorder="1" applyAlignment="1">
      <alignment horizontal="left" vertical="center" wrapText="1" indent="2"/>
    </xf>
    <xf numFmtId="0" fontId="2" fillId="0" borderId="0" xfId="1" applyBorder="1" applyAlignment="1">
      <alignment horizontal="center" wrapText="1"/>
    </xf>
    <xf numFmtId="0" fontId="15" fillId="0" borderId="0" xfId="1" applyFont="1" applyAlignment="1">
      <alignment horizontal="center" vertical="center"/>
    </xf>
    <xf numFmtId="0" fontId="16" fillId="0" borderId="0" xfId="1" applyFont="1" applyFill="1" applyAlignment="1">
      <alignment horizontal="center" vertical="center" wrapText="1"/>
    </xf>
    <xf numFmtId="0" fontId="16" fillId="0" borderId="0" xfId="1" applyFont="1" applyBorder="1" applyAlignment="1">
      <alignment horizontal="left" vertical="center"/>
    </xf>
    <xf numFmtId="2" fontId="6" fillId="0" borderId="15" xfId="1" applyNumberFormat="1" applyFont="1" applyFill="1" applyBorder="1" applyAlignment="1">
      <alignment horizontal="center" vertical="center"/>
    </xf>
    <xf numFmtId="3" fontId="6" fillId="0" borderId="10" xfId="1" applyNumberFormat="1" applyFont="1" applyFill="1" applyBorder="1" applyAlignment="1">
      <alignment horizontal="center" vertical="center"/>
    </xf>
    <xf numFmtId="3" fontId="6" fillId="0" borderId="25" xfId="1" applyNumberFormat="1" applyFont="1" applyFill="1" applyBorder="1" applyAlignment="1">
      <alignment horizontal="center" vertical="center"/>
    </xf>
    <xf numFmtId="1" fontId="6" fillId="0" borderId="0" xfId="0" applyNumberFormat="1" applyFont="1" applyAlignment="1">
      <alignment horizontal="center"/>
    </xf>
    <xf numFmtId="0" fontId="6" fillId="0" borderId="39" xfId="1" applyNumberFormat="1" applyFont="1" applyFill="1" applyBorder="1" applyAlignment="1">
      <alignment horizontal="center" vertical="center"/>
    </xf>
    <xf numFmtId="0" fontId="16" fillId="0" borderId="0" xfId="1" applyFont="1"/>
    <xf numFmtId="0" fontId="16" fillId="0" borderId="0" xfId="1" applyFont="1" applyAlignment="1">
      <alignment horizontal="right"/>
    </xf>
    <xf numFmtId="0" fontId="16" fillId="0" borderId="0" xfId="1" applyFont="1" applyFill="1" applyBorder="1"/>
    <xf numFmtId="2" fontId="20" fillId="0" borderId="0" xfId="1" applyNumberFormat="1" applyFont="1" applyFill="1" applyBorder="1" applyAlignment="1"/>
    <xf numFmtId="0" fontId="21" fillId="0" borderId="0" xfId="1" applyFont="1" applyAlignment="1">
      <alignment vertical="center"/>
    </xf>
    <xf numFmtId="0" fontId="2" fillId="0" borderId="0" xfId="1" applyBorder="1" applyAlignment="1">
      <alignment horizontal="center"/>
    </xf>
    <xf numFmtId="2" fontId="18" fillId="0" borderId="0" xfId="1" applyNumberFormat="1" applyFont="1" applyBorder="1" applyAlignment="1">
      <alignment horizontal="center" vertical="center"/>
    </xf>
    <xf numFmtId="0" fontId="2" fillId="0" borderId="0" xfId="1" applyBorder="1" applyAlignment="1">
      <alignment horizontal="center"/>
    </xf>
    <xf numFmtId="2" fontId="16" fillId="0" borderId="9" xfId="1" applyNumberFormat="1" applyFont="1" applyFill="1" applyBorder="1" applyAlignment="1">
      <alignment horizontal="center" vertical="center"/>
    </xf>
    <xf numFmtId="0" fontId="7" fillId="2" borderId="36" xfId="0" applyFont="1" applyFill="1" applyBorder="1" applyAlignment="1">
      <alignment horizontal="center" vertical="center" wrapText="1"/>
    </xf>
    <xf numFmtId="0" fontId="2" fillId="0" borderId="0" xfId="1" applyBorder="1" applyAlignment="1">
      <alignment horizontal="center"/>
    </xf>
    <xf numFmtId="0" fontId="3" fillId="0" borderId="37" xfId="1" applyFont="1" applyBorder="1" applyAlignment="1">
      <alignment horizontal="center" vertical="center"/>
    </xf>
    <xf numFmtId="1" fontId="6" fillId="0" borderId="9" xfId="4" applyNumberFormat="1" applyFont="1" applyBorder="1" applyAlignment="1">
      <alignment horizontal="center"/>
    </xf>
    <xf numFmtId="1" fontId="6" fillId="0" borderId="13" xfId="4" applyNumberFormat="1" applyFont="1" applyBorder="1" applyAlignment="1">
      <alignment horizontal="center"/>
    </xf>
    <xf numFmtId="1" fontId="6" fillId="0" borderId="13" xfId="4" applyNumberFormat="1" applyFont="1" applyFill="1" applyBorder="1" applyAlignment="1">
      <alignment horizontal="center"/>
    </xf>
    <xf numFmtId="1" fontId="6" fillId="0" borderId="12" xfId="5" applyNumberFormat="1" applyFont="1" applyFill="1" applyBorder="1" applyAlignment="1">
      <alignment horizontal="center"/>
    </xf>
    <xf numFmtId="0" fontId="3" fillId="0" borderId="8" xfId="0" applyFont="1" applyBorder="1" applyAlignment="1">
      <alignment horizontal="center" vertical="center"/>
    </xf>
    <xf numFmtId="0" fontId="3" fillId="0" borderId="8" xfId="1" applyFont="1" applyFill="1" applyBorder="1" applyAlignment="1">
      <alignment horizontal="center" vertical="center" wrapText="1"/>
    </xf>
    <xf numFmtId="2" fontId="23" fillId="0" borderId="0" xfId="1" applyNumberFormat="1" applyFont="1" applyFill="1" applyBorder="1" applyAlignment="1"/>
    <xf numFmtId="2" fontId="20" fillId="0" borderId="0" xfId="1" applyNumberFormat="1" applyFont="1" applyFill="1" applyBorder="1" applyAlignment="1">
      <alignment horizontal="right"/>
    </xf>
    <xf numFmtId="0" fontId="18" fillId="4" borderId="9"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0" xfId="1" applyFont="1" applyFill="1" applyBorder="1" applyAlignment="1">
      <alignment horizontal="center" vertical="center" wrapText="1"/>
    </xf>
    <xf numFmtId="0" fontId="19" fillId="0" borderId="10" xfId="0" applyFont="1" applyBorder="1" applyAlignment="1">
      <alignment horizontal="left" vertical="center" wrapText="1"/>
    </xf>
    <xf numFmtId="0" fontId="19" fillId="0" borderId="9" xfId="0" applyFont="1" applyBorder="1" applyAlignment="1">
      <alignment horizontal="left" vertical="center" wrapText="1"/>
    </xf>
    <xf numFmtId="0" fontId="16" fillId="0" borderId="9" xfId="1" applyFont="1" applyBorder="1" applyAlignment="1">
      <alignment horizontal="center" vertical="center"/>
    </xf>
    <xf numFmtId="0" fontId="16" fillId="0" borderId="0" xfId="1" applyFont="1" applyFill="1" applyBorder="1" applyAlignment="1">
      <alignment horizontal="center" vertical="center"/>
    </xf>
    <xf numFmtId="2" fontId="16" fillId="0" borderId="9" xfId="1" applyNumberFormat="1" applyFont="1" applyBorder="1" applyAlignment="1">
      <alignment horizontal="center" vertical="center"/>
    </xf>
    <xf numFmtId="2" fontId="16" fillId="0" borderId="0" xfId="1" applyNumberFormat="1" applyFont="1" applyFill="1" applyBorder="1"/>
    <xf numFmtId="0" fontId="25" fillId="0" borderId="9"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16" fillId="0" borderId="0" xfId="1" applyFont="1" applyBorder="1" applyAlignment="1">
      <alignment horizontal="center"/>
    </xf>
    <xf numFmtId="0" fontId="18" fillId="4" borderId="9" xfId="1" applyFont="1" applyFill="1" applyBorder="1" applyAlignment="1">
      <alignment horizontal="center" vertical="center" wrapText="1"/>
    </xf>
    <xf numFmtId="2" fontId="16" fillId="0" borderId="9" xfId="1" applyNumberFormat="1" applyFont="1" applyBorder="1" applyAlignment="1">
      <alignment horizontal="center"/>
    </xf>
    <xf numFmtId="2" fontId="23" fillId="0" borderId="0" xfId="1" applyNumberFormat="1" applyFont="1" applyBorder="1" applyAlignment="1">
      <alignment horizontal="center" vertical="center"/>
    </xf>
    <xf numFmtId="2" fontId="23" fillId="0" borderId="0" xfId="1" applyNumberFormat="1" applyFont="1" applyBorder="1" applyAlignment="1">
      <alignment horizontal="right" vertical="center"/>
    </xf>
    <xf numFmtId="2" fontId="23" fillId="0" borderId="0" xfId="1" applyNumberFormat="1" applyFont="1" applyFill="1" applyBorder="1" applyAlignment="1">
      <alignment horizontal="center"/>
    </xf>
    <xf numFmtId="2" fontId="23" fillId="0" borderId="0" xfId="1" applyNumberFormat="1" applyFont="1" applyBorder="1"/>
    <xf numFmtId="2" fontId="6" fillId="0" borderId="6" xfId="1" applyNumberFormat="1" applyFont="1" applyFill="1" applyBorder="1" applyAlignment="1">
      <alignment horizontal="center" vertical="center"/>
    </xf>
    <xf numFmtId="2" fontId="6" fillId="0" borderId="34" xfId="1" applyNumberFormat="1" applyFont="1" applyFill="1" applyBorder="1" applyAlignment="1">
      <alignment horizontal="center" vertical="center"/>
    </xf>
    <xf numFmtId="9" fontId="5" fillId="0" borderId="32" xfId="1" applyNumberFormat="1" applyFont="1" applyFill="1" applyBorder="1" applyAlignment="1">
      <alignment horizontal="center" vertical="center"/>
    </xf>
    <xf numFmtId="0" fontId="6" fillId="0" borderId="6" xfId="1" applyFont="1" applyFill="1" applyBorder="1" applyAlignment="1">
      <alignment horizontal="center"/>
    </xf>
    <xf numFmtId="0" fontId="6" fillId="0" borderId="7" xfId="1" applyFont="1" applyFill="1" applyBorder="1" applyAlignment="1">
      <alignment horizontal="center"/>
    </xf>
    <xf numFmtId="2" fontId="26" fillId="0" borderId="0" xfId="1" applyNumberFormat="1" applyFont="1" applyFill="1" applyBorder="1" applyAlignment="1">
      <alignment horizontal="left"/>
    </xf>
    <xf numFmtId="2" fontId="22" fillId="0" borderId="0" xfId="1" applyNumberFormat="1" applyFont="1" applyFill="1" applyBorder="1" applyAlignment="1">
      <alignment horizontal="center"/>
    </xf>
    <xf numFmtId="2" fontId="18" fillId="0" borderId="0" xfId="1" applyNumberFormat="1" applyFont="1" applyFill="1" applyBorder="1" applyAlignment="1">
      <alignment horizontal="center" wrapText="1"/>
    </xf>
    <xf numFmtId="0" fontId="19" fillId="0" borderId="9" xfId="0" applyFont="1" applyBorder="1" applyAlignment="1">
      <alignment horizontal="center" vertical="center"/>
    </xf>
    <xf numFmtId="0" fontId="19" fillId="0" borderId="9" xfId="0" applyFont="1" applyFill="1" applyBorder="1" applyAlignment="1">
      <alignment horizontal="center" vertical="center"/>
    </xf>
    <xf numFmtId="2" fontId="19" fillId="0" borderId="9" xfId="0" applyNumberFormat="1" applyFont="1" applyBorder="1" applyAlignment="1">
      <alignment horizontal="center" vertical="center"/>
    </xf>
    <xf numFmtId="0" fontId="32" fillId="0" borderId="0" xfId="0" applyFont="1"/>
    <xf numFmtId="0" fontId="33" fillId="0" borderId="0" xfId="1" applyFont="1"/>
    <xf numFmtId="2" fontId="22" fillId="0" borderId="0" xfId="1" applyNumberFormat="1" applyFont="1" applyBorder="1" applyAlignment="1">
      <alignment horizontal="center" vertical="center"/>
    </xf>
    <xf numFmtId="0" fontId="33" fillId="0" borderId="0" xfId="1" applyFont="1" applyBorder="1" applyAlignment="1">
      <alignment horizontal="center"/>
    </xf>
    <xf numFmtId="0" fontId="33" fillId="0" borderId="0" xfId="1" applyFont="1" applyBorder="1"/>
    <xf numFmtId="0" fontId="34" fillId="0" borderId="0" xfId="0" applyFont="1"/>
    <xf numFmtId="0" fontId="35" fillId="0" borderId="0" xfId="1" applyFont="1"/>
    <xf numFmtId="0" fontId="25" fillId="0" borderId="9" xfId="0" applyFont="1" applyBorder="1" applyAlignment="1">
      <alignment horizontal="center" vertical="center" wrapText="1"/>
    </xf>
    <xf numFmtId="0" fontId="19" fillId="0" borderId="0" xfId="0" applyFont="1"/>
    <xf numFmtId="0" fontId="25" fillId="0" borderId="9" xfId="0" applyFont="1" applyBorder="1" applyAlignment="1">
      <alignment horizontal="center" vertical="center"/>
    </xf>
    <xf numFmtId="0" fontId="25" fillId="0" borderId="9" xfId="0" applyFont="1" applyFill="1" applyBorder="1" applyAlignment="1">
      <alignment horizontal="center" vertical="center" wrapText="1"/>
    </xf>
    <xf numFmtId="0" fontId="25" fillId="0" borderId="0" xfId="0" applyFont="1" applyFill="1" applyBorder="1" applyAlignment="1">
      <alignment horizontal="center" vertical="center" wrapText="1"/>
    </xf>
    <xf numFmtId="2" fontId="25" fillId="0" borderId="0" xfId="0" applyNumberFormat="1" applyFont="1" applyBorder="1" applyAlignment="1">
      <alignment horizontal="center" vertical="center"/>
    </xf>
    <xf numFmtId="0" fontId="25" fillId="0" borderId="9" xfId="0" applyFont="1" applyFill="1" applyBorder="1" applyAlignment="1">
      <alignment horizontal="center" vertical="center"/>
    </xf>
    <xf numFmtId="0" fontId="25" fillId="0" borderId="9" xfId="0" applyFont="1" applyFill="1" applyBorder="1" applyAlignment="1">
      <alignment horizontal="center" wrapText="1"/>
    </xf>
    <xf numFmtId="0" fontId="25" fillId="4" borderId="9" xfId="0" applyFont="1" applyFill="1" applyBorder="1" applyAlignment="1">
      <alignment horizontal="center" vertical="center" wrapText="1"/>
    </xf>
    <xf numFmtId="0" fontId="25" fillId="0" borderId="0" xfId="0" applyFont="1" applyFill="1" applyBorder="1" applyAlignment="1">
      <alignment horizontal="center" wrapText="1"/>
    </xf>
    <xf numFmtId="0" fontId="37" fillId="0" borderId="0" xfId="0" applyFont="1" applyFill="1" applyBorder="1" applyAlignment="1">
      <alignment horizontal="left" vertical="center" wrapText="1"/>
    </xf>
    <xf numFmtId="0" fontId="27" fillId="0" borderId="0" xfId="1" applyFont="1" applyBorder="1" applyAlignment="1"/>
    <xf numFmtId="0" fontId="16" fillId="0" borderId="0" xfId="1" applyFont="1" applyBorder="1" applyAlignment="1"/>
    <xf numFmtId="0" fontId="16" fillId="0" borderId="10" xfId="1" applyFont="1" applyFill="1" applyBorder="1" applyAlignment="1">
      <alignment horizontal="center" vertical="center"/>
    </xf>
    <xf numFmtId="0" fontId="16" fillId="0" borderId="9" xfId="1" applyFont="1" applyFill="1" applyBorder="1" applyAlignment="1">
      <alignment horizontal="center" vertical="center"/>
    </xf>
    <xf numFmtId="0" fontId="16" fillId="0" borderId="9" xfId="1" applyFont="1" applyFill="1" applyBorder="1" applyAlignment="1">
      <alignment horizontal="center"/>
    </xf>
    <xf numFmtId="2" fontId="16" fillId="0" borderId="9" xfId="1" applyNumberFormat="1" applyFont="1" applyFill="1" applyBorder="1" applyAlignment="1">
      <alignment horizontal="center"/>
    </xf>
    <xf numFmtId="0" fontId="19" fillId="0" borderId="0" xfId="0" applyFont="1" applyFill="1" applyBorder="1" applyAlignment="1">
      <alignment horizontal="center" vertical="center"/>
    </xf>
    <xf numFmtId="2" fontId="19" fillId="0" borderId="0" xfId="0" applyNumberFormat="1" applyFont="1" applyFill="1" applyBorder="1" applyAlignment="1">
      <alignment horizontal="center" vertical="center"/>
    </xf>
    <xf numFmtId="2" fontId="22" fillId="0" borderId="0" xfId="1" applyNumberFormat="1" applyFont="1" applyFill="1" applyBorder="1" applyAlignment="1">
      <alignment horizontal="center" vertical="center"/>
    </xf>
    <xf numFmtId="0" fontId="2" fillId="0" borderId="0" xfId="1" applyFill="1"/>
    <xf numFmtId="2" fontId="25" fillId="0" borderId="0" xfId="0" applyNumberFormat="1" applyFont="1" applyBorder="1" applyAlignment="1">
      <alignment vertical="center"/>
    </xf>
    <xf numFmtId="2" fontId="23" fillId="0" borderId="0" xfId="1" applyNumberFormat="1" applyFont="1" applyFill="1" applyBorder="1" applyAlignment="1">
      <alignment horizontal="center" vertical="center"/>
    </xf>
    <xf numFmtId="2" fontId="18" fillId="0" borderId="0" xfId="1" applyNumberFormat="1" applyFont="1" applyBorder="1" applyAlignment="1">
      <alignment vertical="center"/>
    </xf>
    <xf numFmtId="0" fontId="3" fillId="0" borderId="0" xfId="1" applyFont="1"/>
    <xf numFmtId="2" fontId="18" fillId="0" borderId="9" xfId="1" applyNumberFormat="1" applyFont="1" applyBorder="1" applyAlignment="1">
      <alignment horizontal="center" vertical="center"/>
    </xf>
    <xf numFmtId="0" fontId="27" fillId="0" borderId="0" xfId="1" applyFont="1" applyBorder="1" applyAlignment="1">
      <alignment horizontal="left"/>
    </xf>
    <xf numFmtId="0" fontId="3" fillId="0" borderId="19" xfId="1" applyFont="1" applyFill="1" applyBorder="1" applyAlignment="1">
      <alignment horizontal="right" vertical="center"/>
    </xf>
    <xf numFmtId="0" fontId="3" fillId="0" borderId="2" xfId="1" applyFont="1" applyFill="1" applyBorder="1" applyAlignment="1">
      <alignment horizontal="right" vertical="center"/>
    </xf>
    <xf numFmtId="0" fontId="7" fillId="0" borderId="34" xfId="1" applyNumberFormat="1" applyFont="1" applyBorder="1" applyAlignment="1">
      <alignment horizontal="left" vertical="center"/>
    </xf>
    <xf numFmtId="0" fontId="7" fillId="0" borderId="35" xfId="1" applyNumberFormat="1" applyFont="1" applyBorder="1" applyAlignment="1">
      <alignment horizontal="left" vertical="center"/>
    </xf>
    <xf numFmtId="0" fontId="3" fillId="0" borderId="21" xfId="1" applyFont="1" applyFill="1" applyBorder="1" applyAlignment="1">
      <alignment horizontal="left" vertical="center"/>
    </xf>
    <xf numFmtId="0" fontId="3" fillId="0" borderId="22" xfId="1" applyFont="1" applyFill="1" applyBorder="1" applyAlignment="1">
      <alignment horizontal="left" vertical="center"/>
    </xf>
    <xf numFmtId="0" fontId="7" fillId="0" borderId="30" xfId="1" applyFont="1" applyFill="1" applyBorder="1" applyAlignment="1">
      <alignment horizontal="left" vertical="center"/>
    </xf>
    <xf numFmtId="0" fontId="7" fillId="0" borderId="31" xfId="1" applyFont="1" applyFill="1" applyBorder="1" applyAlignment="1">
      <alignment horizontal="left" vertical="center"/>
    </xf>
    <xf numFmtId="0" fontId="7" fillId="0" borderId="28" xfId="1" applyFont="1" applyFill="1" applyBorder="1" applyAlignment="1">
      <alignment horizontal="left" vertical="center" wrapText="1" indent="2"/>
    </xf>
    <xf numFmtId="0" fontId="7" fillId="0" borderId="29" xfId="1" applyFont="1" applyFill="1" applyBorder="1" applyAlignment="1">
      <alignment horizontal="left" vertical="center" wrapText="1" indent="2"/>
    </xf>
    <xf numFmtId="0" fontId="7" fillId="0" borderId="40" xfId="1" applyFont="1" applyFill="1" applyBorder="1" applyAlignment="1">
      <alignment horizontal="left" vertical="center" wrapText="1" indent="2"/>
    </xf>
    <xf numFmtId="0" fontId="7" fillId="0" borderId="42" xfId="1" applyFont="1" applyFill="1" applyBorder="1" applyAlignment="1">
      <alignment horizontal="left" vertical="center" wrapText="1"/>
    </xf>
    <xf numFmtId="0" fontId="7" fillId="0" borderId="43" xfId="1" applyFont="1" applyFill="1" applyBorder="1" applyAlignment="1">
      <alignment horizontal="left" vertical="center" wrapText="1"/>
    </xf>
    <xf numFmtId="0" fontId="7" fillId="0" borderId="19" xfId="1" applyNumberFormat="1" applyFont="1" applyBorder="1" applyAlignment="1">
      <alignment horizontal="left" vertical="center"/>
    </xf>
    <xf numFmtId="0" fontId="7" fillId="0" borderId="38" xfId="1" applyNumberFormat="1" applyFont="1" applyBorder="1" applyAlignment="1">
      <alignment horizontal="left" vertical="center"/>
    </xf>
    <xf numFmtId="0" fontId="7" fillId="0" borderId="40" xfId="1" applyNumberFormat="1" applyFont="1" applyBorder="1" applyAlignment="1">
      <alignment horizontal="left" vertical="center"/>
    </xf>
    <xf numFmtId="0" fontId="7" fillId="0" borderId="41" xfId="1" applyNumberFormat="1" applyFont="1" applyBorder="1" applyAlignment="1">
      <alignment horizontal="left" vertical="center"/>
    </xf>
    <xf numFmtId="0" fontId="3" fillId="0" borderId="28" xfId="1" applyFont="1" applyBorder="1" applyAlignment="1">
      <alignment horizontal="left" vertical="center"/>
    </xf>
    <xf numFmtId="0" fontId="3" fillId="0" borderId="33" xfId="1" applyFont="1" applyBorder="1" applyAlignment="1">
      <alignment horizontal="left" vertical="center"/>
    </xf>
    <xf numFmtId="0" fontId="7" fillId="0" borderId="14" xfId="1" applyFont="1" applyFill="1" applyBorder="1" applyAlignment="1">
      <alignment horizontal="left" vertical="center"/>
    </xf>
    <xf numFmtId="0" fontId="7" fillId="0" borderId="15" xfId="1" applyFont="1" applyFill="1" applyBorder="1" applyAlignment="1">
      <alignment horizontal="left" vertical="center"/>
    </xf>
    <xf numFmtId="0" fontId="7" fillId="0" borderId="5" xfId="1" applyFont="1" applyFill="1" applyBorder="1" applyAlignment="1">
      <alignment horizontal="left" vertical="center" wrapText="1"/>
    </xf>
    <xf numFmtId="0" fontId="7" fillId="0" borderId="6" xfId="1" applyFont="1" applyFill="1" applyBorder="1" applyAlignment="1">
      <alignment horizontal="left" vertical="center" wrapText="1"/>
    </xf>
    <xf numFmtId="0" fontId="7" fillId="0" borderId="8" xfId="1" applyFont="1" applyFill="1" applyBorder="1" applyAlignment="1">
      <alignment horizontal="left" vertical="center" wrapText="1"/>
    </xf>
    <xf numFmtId="0" fontId="7" fillId="0" borderId="9" xfId="1" applyFont="1" applyFill="1" applyBorder="1" applyAlignment="1">
      <alignment horizontal="left" vertical="center" wrapText="1"/>
    </xf>
    <xf numFmtId="0" fontId="3" fillId="0" borderId="24" xfId="1" applyFont="1" applyFill="1" applyBorder="1" applyAlignment="1">
      <alignment horizontal="left"/>
    </xf>
    <xf numFmtId="0" fontId="3" fillId="0" borderId="23" xfId="1" applyFont="1" applyFill="1" applyBorder="1" applyAlignment="1">
      <alignment horizontal="left"/>
    </xf>
    <xf numFmtId="0" fontId="7" fillId="2" borderId="19" xfId="1" applyFont="1" applyFill="1" applyBorder="1" applyAlignment="1">
      <alignment horizontal="left" vertical="center"/>
    </xf>
    <xf numFmtId="0" fontId="7" fillId="2" borderId="2" xfId="1" applyFont="1" applyFill="1" applyBorder="1" applyAlignment="1">
      <alignment horizontal="left" vertical="center"/>
    </xf>
    <xf numFmtId="0" fontId="2" fillId="0" borderId="0" xfId="1" applyBorder="1" applyAlignment="1">
      <alignment horizontal="center"/>
    </xf>
    <xf numFmtId="0" fontId="2" fillId="0" borderId="0" xfId="1" applyBorder="1" applyAlignment="1">
      <alignment horizontal="center" wrapText="1"/>
    </xf>
    <xf numFmtId="0" fontId="15" fillId="0" borderId="0" xfId="1" applyFont="1" applyAlignment="1">
      <alignment horizontal="center" vertical="center"/>
    </xf>
    <xf numFmtId="0" fontId="16" fillId="0" borderId="0" xfId="1" applyFont="1" applyFill="1" applyAlignment="1">
      <alignment horizontal="center" vertical="center" wrapText="1"/>
    </xf>
    <xf numFmtId="0" fontId="16" fillId="0" borderId="0" xfId="1" applyFont="1" applyBorder="1" applyAlignment="1">
      <alignment horizontal="left" vertical="center"/>
    </xf>
    <xf numFmtId="2" fontId="22" fillId="0" borderId="0" xfId="1" applyNumberFormat="1" applyFont="1" applyFill="1" applyBorder="1" applyAlignment="1">
      <alignment horizontal="center"/>
    </xf>
    <xf numFmtId="2" fontId="18" fillId="0" borderId="0" xfId="1" applyNumberFormat="1" applyFont="1" applyFill="1" applyBorder="1" applyAlignment="1">
      <alignment horizontal="center" wrapText="1"/>
    </xf>
    <xf numFmtId="2" fontId="26" fillId="0" borderId="0" xfId="1" applyNumberFormat="1" applyFont="1" applyFill="1" applyBorder="1" applyAlignment="1">
      <alignment horizontal="left"/>
    </xf>
    <xf numFmtId="0" fontId="16" fillId="0" borderId="0" xfId="1" applyFont="1" applyBorder="1" applyAlignment="1">
      <alignment horizontal="center"/>
    </xf>
    <xf numFmtId="2" fontId="18" fillId="0" borderId="0" xfId="1" applyNumberFormat="1" applyFont="1" applyFill="1" applyBorder="1" applyAlignment="1">
      <alignment horizontal="center"/>
    </xf>
    <xf numFmtId="0" fontId="30" fillId="0" borderId="0" xfId="0" applyFont="1" applyAlignment="1">
      <alignment horizontal="left"/>
    </xf>
    <xf numFmtId="2" fontId="25" fillId="0" borderId="13" xfId="0" applyNumberFormat="1" applyFont="1" applyBorder="1" applyAlignment="1">
      <alignment horizontal="center" vertical="center"/>
    </xf>
    <xf numFmtId="2" fontId="25" fillId="0" borderId="45" xfId="0" applyNumberFormat="1" applyFont="1" applyBorder="1" applyAlignment="1">
      <alignment horizontal="center" vertical="center"/>
    </xf>
    <xf numFmtId="2" fontId="25" fillId="0" borderId="44" xfId="0" applyNumberFormat="1" applyFont="1" applyBorder="1" applyAlignment="1">
      <alignment horizontal="center" vertical="center"/>
    </xf>
    <xf numFmtId="2" fontId="25" fillId="0" borderId="9" xfId="0" applyNumberFormat="1" applyFont="1" applyBorder="1" applyAlignment="1">
      <alignment horizontal="center" vertical="center"/>
    </xf>
  </cellXfs>
  <cellStyles count="12">
    <cellStyle name="Comma_Pārējās iest." xfId="11"/>
    <cellStyle name="Normal 2" xfId="2"/>
    <cellStyle name="Normal 3" xfId="3"/>
    <cellStyle name="Normal_Book1" xfId="1"/>
    <cellStyle name="Parasts" xfId="0" builtinId="0"/>
    <cellStyle name="Parasts 2" xfId="4"/>
    <cellStyle name="Parasts 2 2" xfId="5"/>
    <cellStyle name="Parasts 2 2 2" xfId="6"/>
    <cellStyle name="Parasts 2 3" xfId="7"/>
    <cellStyle name="Percent 2" xfId="8"/>
    <cellStyle name="Valūta 2" xfId="9"/>
    <cellStyle name="Valūta 2 2" xfId="10"/>
  </cellStyles>
  <dxfs count="0"/>
  <tableStyles count="0" defaultTableStyle="TableStyleMedium2" defaultPivotStyle="PivotStyleLight16"/>
  <colors>
    <mruColors>
      <color rgb="FFB8E08C"/>
      <color rgb="FFF8A764"/>
      <color rgb="FFF68E3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12</xdr:col>
      <xdr:colOff>0</xdr:colOff>
      <xdr:row>0</xdr:row>
      <xdr:rowOff>47625</xdr:rowOff>
    </xdr:from>
    <xdr:to>
      <xdr:col>13</xdr:col>
      <xdr:colOff>1200150</xdr:colOff>
      <xdr:row>6</xdr:row>
      <xdr:rowOff>19051</xdr:rowOff>
    </xdr:to>
    <xdr:sp macro="" textlink="">
      <xdr:nvSpPr>
        <xdr:cNvPr id="2" name="TextBox 1"/>
        <xdr:cNvSpPr txBox="1"/>
      </xdr:nvSpPr>
      <xdr:spPr>
        <a:xfrm>
          <a:off x="16935449" y="47625"/>
          <a:ext cx="2543175" cy="1219201"/>
        </a:xfrm>
        <a:prstGeom prst="rect">
          <a:avLst/>
        </a:prstGeom>
        <a:noFill/>
        <a:ln w="9525"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lv-LV" sz="1200" b="1" i="0" u="none" strike="noStrike" kern="0" cap="none" spc="0" normalizeH="0" baseline="0" noProof="0">
              <a:ln>
                <a:noFill/>
              </a:ln>
              <a:solidFill>
                <a:prstClr val="black"/>
              </a:solidFill>
              <a:effectLst/>
              <a:uLnTx/>
              <a:uFillTx/>
              <a:latin typeface="Times New Roman" pitchFamily="18" charset="0"/>
              <a:ea typeface="+mn-ea"/>
              <a:cs typeface="Times New Roman" pitchFamily="18" charset="0"/>
            </a:rPr>
            <a:t>APSTIPRINU</a:t>
          </a:r>
        </a:p>
        <a:p>
          <a:pPr marL="0" marR="0" lvl="0" indent="0" algn="l" defTabSz="914400" eaLnBrk="1" fontAlgn="auto" latinLnBrk="0" hangingPunct="1">
            <a:lnSpc>
              <a:spcPct val="100000"/>
            </a:lnSpc>
            <a:spcBef>
              <a:spcPts val="0"/>
            </a:spcBef>
            <a:spcAft>
              <a:spcPts val="0"/>
            </a:spcAft>
            <a:buClrTx/>
            <a:buSzTx/>
            <a:buFontTx/>
            <a:buNone/>
            <a:tabLst/>
            <a:defRPr/>
          </a:pPr>
          <a:r>
            <a:rPr kumimoji="0" lang="lv-LV" sz="1200" b="0" i="0" u="none" strike="noStrike" kern="0" cap="none" spc="0" normalizeH="0" baseline="0" noProof="0">
              <a:ln>
                <a:noFill/>
              </a:ln>
              <a:solidFill>
                <a:prstClr val="black"/>
              </a:solidFill>
              <a:effectLst/>
              <a:uLnTx/>
              <a:uFillTx/>
              <a:latin typeface="Times New Roman" pitchFamily="18" charset="0"/>
              <a:ea typeface="+mn-ea"/>
              <a:cs typeface="Times New Roman" pitchFamily="18" charset="0"/>
            </a:rPr>
            <a:t>Jelgavas pilsētas pašvaldības iestādes "Jelgavas izglītības pārvalde" vadītāja</a:t>
          </a:r>
        </a:p>
        <a:p>
          <a:pPr marL="0" marR="0" lvl="0" indent="0" algn="l" defTabSz="914400" eaLnBrk="1" fontAlgn="auto" latinLnBrk="0" hangingPunct="1">
            <a:lnSpc>
              <a:spcPct val="100000"/>
            </a:lnSpc>
            <a:spcBef>
              <a:spcPts val="600"/>
            </a:spcBef>
            <a:spcAft>
              <a:spcPts val="0"/>
            </a:spcAft>
            <a:buClrTx/>
            <a:buSzTx/>
            <a:buFontTx/>
            <a:buNone/>
            <a:tabLst/>
            <a:defRPr/>
          </a:pPr>
          <a:r>
            <a:rPr kumimoji="0" lang="lv-LV" sz="1200" b="0" i="0" u="none" strike="noStrike" kern="0" cap="none" spc="0" normalizeH="0" baseline="0" noProof="0">
              <a:ln>
                <a:noFill/>
              </a:ln>
              <a:solidFill>
                <a:prstClr val="black"/>
              </a:solidFill>
              <a:effectLst/>
              <a:uLnTx/>
              <a:uFillTx/>
              <a:latin typeface="Times New Roman" pitchFamily="18" charset="0"/>
              <a:ea typeface="+mn-ea"/>
              <a:cs typeface="Times New Roman" pitchFamily="18" charset="0"/>
            </a:rPr>
            <a:t>_______________________ G.Auza             </a:t>
          </a:r>
          <a:r>
            <a:rPr kumimoji="0" lang="lv-LV" sz="12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2016.gada 12.decembrī</a:t>
          </a:r>
        </a:p>
      </xdr:txBody>
    </xdr:sp>
    <xdr:clientData/>
  </xdr:twoCellAnchor>
</xdr:wsDr>
</file>

<file path=xl/theme/theme1.xml><?xml version="1.0" encoding="utf-8"?>
<a:theme xmlns:a="http://schemas.openxmlformats.org/drawingml/2006/main" name="Office tēma">
  <a:themeElements>
    <a:clrScheme name="Iestād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Iestād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Iestād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C111"/>
  <sheetViews>
    <sheetView tabSelected="1" zoomScale="80" zoomScaleNormal="80" workbookViewId="0">
      <selection activeCell="A14" sqref="A14"/>
    </sheetView>
  </sheetViews>
  <sheetFormatPr defaultRowHeight="12.75" outlineLevelRow="1" x14ac:dyDescent="0.2"/>
  <cols>
    <col min="1" max="1" width="13.42578125" style="1" customWidth="1"/>
    <col min="2" max="2" width="47.5703125" style="1" customWidth="1"/>
    <col min="3" max="3" width="21.42578125" style="1" customWidth="1"/>
    <col min="4" max="6" width="15.7109375" style="1" customWidth="1"/>
    <col min="7" max="7" width="19.42578125" style="1" customWidth="1"/>
    <col min="8" max="8" width="27.140625" style="1" customWidth="1"/>
    <col min="9" max="11" width="15.7109375" style="1" customWidth="1"/>
    <col min="12" max="12" width="16.5703125" style="1" bestFit="1" customWidth="1"/>
    <col min="13" max="13" width="20.42578125" style="1" customWidth="1"/>
    <col min="14" max="14" width="18.42578125" style="1" customWidth="1"/>
    <col min="15" max="16" width="15.7109375" style="1" customWidth="1"/>
    <col min="17" max="17" width="20.85546875" style="1" customWidth="1"/>
    <col min="18" max="18" width="21.85546875" style="1" customWidth="1"/>
    <col min="19" max="24" width="15.7109375" style="1" customWidth="1"/>
    <col min="25" max="25" width="10.5703125" style="1" customWidth="1"/>
    <col min="26" max="26" width="15.7109375" style="1" customWidth="1"/>
    <col min="27" max="31" width="7.7109375" style="1" customWidth="1"/>
    <col min="32" max="32" width="16.7109375" style="1" customWidth="1"/>
    <col min="33" max="257" width="9.140625" style="1"/>
    <col min="258" max="258" width="5.28515625" style="1" customWidth="1"/>
    <col min="259" max="259" width="37.5703125" style="1" customWidth="1"/>
    <col min="260" max="260" width="12.28515625" style="1" customWidth="1"/>
    <col min="261" max="263" width="9.140625" style="1" customWidth="1"/>
    <col min="264" max="264" width="9" style="1" customWidth="1"/>
    <col min="265" max="265" width="9.5703125" style="1" customWidth="1"/>
    <col min="266" max="266" width="9.7109375" style="1" customWidth="1"/>
    <col min="267" max="267" width="11.7109375" style="1" customWidth="1"/>
    <col min="268" max="268" width="12" style="1" customWidth="1"/>
    <col min="269" max="269" width="10.42578125" style="1" customWidth="1"/>
    <col min="270" max="270" width="9.140625" style="1" customWidth="1"/>
    <col min="271" max="513" width="9.140625" style="1"/>
    <col min="514" max="514" width="5.28515625" style="1" customWidth="1"/>
    <col min="515" max="515" width="37.5703125" style="1" customWidth="1"/>
    <col min="516" max="516" width="12.28515625" style="1" customWidth="1"/>
    <col min="517" max="519" width="9.140625" style="1" customWidth="1"/>
    <col min="520" max="520" width="9" style="1" customWidth="1"/>
    <col min="521" max="521" width="9.5703125" style="1" customWidth="1"/>
    <col min="522" max="522" width="9.7109375" style="1" customWidth="1"/>
    <col min="523" max="523" width="11.7109375" style="1" customWidth="1"/>
    <col min="524" max="524" width="12" style="1" customWidth="1"/>
    <col min="525" max="525" width="10.42578125" style="1" customWidth="1"/>
    <col min="526" max="526" width="9.140625" style="1" customWidth="1"/>
    <col min="527" max="769" width="9.140625" style="1"/>
    <col min="770" max="770" width="5.28515625" style="1" customWidth="1"/>
    <col min="771" max="771" width="37.5703125" style="1" customWidth="1"/>
    <col min="772" max="772" width="12.28515625" style="1" customWidth="1"/>
    <col min="773" max="775" width="9.140625" style="1" customWidth="1"/>
    <col min="776" max="776" width="9" style="1" customWidth="1"/>
    <col min="777" max="777" width="9.5703125" style="1" customWidth="1"/>
    <col min="778" max="778" width="9.7109375" style="1" customWidth="1"/>
    <col min="779" max="779" width="11.7109375" style="1" customWidth="1"/>
    <col min="780" max="780" width="12" style="1" customWidth="1"/>
    <col min="781" max="781" width="10.42578125" style="1" customWidth="1"/>
    <col min="782" max="782" width="9.140625" style="1" customWidth="1"/>
    <col min="783" max="1025" width="9.140625" style="1"/>
    <col min="1026" max="1026" width="5.28515625" style="1" customWidth="1"/>
    <col min="1027" max="1027" width="37.5703125" style="1" customWidth="1"/>
    <col min="1028" max="1028" width="12.28515625" style="1" customWidth="1"/>
    <col min="1029" max="1031" width="9.140625" style="1" customWidth="1"/>
    <col min="1032" max="1032" width="9" style="1" customWidth="1"/>
    <col min="1033" max="1033" width="9.5703125" style="1" customWidth="1"/>
    <col min="1034" max="1034" width="9.7109375" style="1" customWidth="1"/>
    <col min="1035" max="1035" width="11.7109375" style="1" customWidth="1"/>
    <col min="1036" max="1036" width="12" style="1" customWidth="1"/>
    <col min="1037" max="1037" width="10.42578125" style="1" customWidth="1"/>
    <col min="1038" max="1038" width="9.140625" style="1" customWidth="1"/>
    <col min="1039" max="1281" width="9.140625" style="1"/>
    <col min="1282" max="1282" width="5.28515625" style="1" customWidth="1"/>
    <col min="1283" max="1283" width="37.5703125" style="1" customWidth="1"/>
    <col min="1284" max="1284" width="12.28515625" style="1" customWidth="1"/>
    <col min="1285" max="1287" width="9.140625" style="1" customWidth="1"/>
    <col min="1288" max="1288" width="9" style="1" customWidth="1"/>
    <col min="1289" max="1289" width="9.5703125" style="1" customWidth="1"/>
    <col min="1290" max="1290" width="9.7109375" style="1" customWidth="1"/>
    <col min="1291" max="1291" width="11.7109375" style="1" customWidth="1"/>
    <col min="1292" max="1292" width="12" style="1" customWidth="1"/>
    <col min="1293" max="1293" width="10.42578125" style="1" customWidth="1"/>
    <col min="1294" max="1294" width="9.140625" style="1" customWidth="1"/>
    <col min="1295" max="1537" width="9.140625" style="1"/>
    <col min="1538" max="1538" width="5.28515625" style="1" customWidth="1"/>
    <col min="1539" max="1539" width="37.5703125" style="1" customWidth="1"/>
    <col min="1540" max="1540" width="12.28515625" style="1" customWidth="1"/>
    <col min="1541" max="1543" width="9.140625" style="1" customWidth="1"/>
    <col min="1544" max="1544" width="9" style="1" customWidth="1"/>
    <col min="1545" max="1545" width="9.5703125" style="1" customWidth="1"/>
    <col min="1546" max="1546" width="9.7109375" style="1" customWidth="1"/>
    <col min="1547" max="1547" width="11.7109375" style="1" customWidth="1"/>
    <col min="1548" max="1548" width="12" style="1" customWidth="1"/>
    <col min="1549" max="1549" width="10.42578125" style="1" customWidth="1"/>
    <col min="1550" max="1550" width="9.140625" style="1" customWidth="1"/>
    <col min="1551" max="1793" width="9.140625" style="1"/>
    <col min="1794" max="1794" width="5.28515625" style="1" customWidth="1"/>
    <col min="1795" max="1795" width="37.5703125" style="1" customWidth="1"/>
    <col min="1796" max="1796" width="12.28515625" style="1" customWidth="1"/>
    <col min="1797" max="1799" width="9.140625" style="1" customWidth="1"/>
    <col min="1800" max="1800" width="9" style="1" customWidth="1"/>
    <col min="1801" max="1801" width="9.5703125" style="1" customWidth="1"/>
    <col min="1802" max="1802" width="9.7109375" style="1" customWidth="1"/>
    <col min="1803" max="1803" width="11.7109375" style="1" customWidth="1"/>
    <col min="1804" max="1804" width="12" style="1" customWidth="1"/>
    <col min="1805" max="1805" width="10.42578125" style="1" customWidth="1"/>
    <col min="1806" max="1806" width="9.140625" style="1" customWidth="1"/>
    <col min="1807" max="2049" width="9.140625" style="1"/>
    <col min="2050" max="2050" width="5.28515625" style="1" customWidth="1"/>
    <col min="2051" max="2051" width="37.5703125" style="1" customWidth="1"/>
    <col min="2052" max="2052" width="12.28515625" style="1" customWidth="1"/>
    <col min="2053" max="2055" width="9.140625" style="1" customWidth="1"/>
    <col min="2056" max="2056" width="9" style="1" customWidth="1"/>
    <col min="2057" max="2057" width="9.5703125" style="1" customWidth="1"/>
    <col min="2058" max="2058" width="9.7109375" style="1" customWidth="1"/>
    <col min="2059" max="2059" width="11.7109375" style="1" customWidth="1"/>
    <col min="2060" max="2060" width="12" style="1" customWidth="1"/>
    <col min="2061" max="2061" width="10.42578125" style="1" customWidth="1"/>
    <col min="2062" max="2062" width="9.140625" style="1" customWidth="1"/>
    <col min="2063" max="2305" width="9.140625" style="1"/>
    <col min="2306" max="2306" width="5.28515625" style="1" customWidth="1"/>
    <col min="2307" max="2307" width="37.5703125" style="1" customWidth="1"/>
    <col min="2308" max="2308" width="12.28515625" style="1" customWidth="1"/>
    <col min="2309" max="2311" width="9.140625" style="1" customWidth="1"/>
    <col min="2312" max="2312" width="9" style="1" customWidth="1"/>
    <col min="2313" max="2313" width="9.5703125" style="1" customWidth="1"/>
    <col min="2314" max="2314" width="9.7109375" style="1" customWidth="1"/>
    <col min="2315" max="2315" width="11.7109375" style="1" customWidth="1"/>
    <col min="2316" max="2316" width="12" style="1" customWidth="1"/>
    <col min="2317" max="2317" width="10.42578125" style="1" customWidth="1"/>
    <col min="2318" max="2318" width="9.140625" style="1" customWidth="1"/>
    <col min="2319" max="2561" width="9.140625" style="1"/>
    <col min="2562" max="2562" width="5.28515625" style="1" customWidth="1"/>
    <col min="2563" max="2563" width="37.5703125" style="1" customWidth="1"/>
    <col min="2564" max="2564" width="12.28515625" style="1" customWidth="1"/>
    <col min="2565" max="2567" width="9.140625" style="1" customWidth="1"/>
    <col min="2568" max="2568" width="9" style="1" customWidth="1"/>
    <col min="2569" max="2569" width="9.5703125" style="1" customWidth="1"/>
    <col min="2570" max="2570" width="9.7109375" style="1" customWidth="1"/>
    <col min="2571" max="2571" width="11.7109375" style="1" customWidth="1"/>
    <col min="2572" max="2572" width="12" style="1" customWidth="1"/>
    <col min="2573" max="2573" width="10.42578125" style="1" customWidth="1"/>
    <col min="2574" max="2574" width="9.140625" style="1" customWidth="1"/>
    <col min="2575" max="2817" width="9.140625" style="1"/>
    <col min="2818" max="2818" width="5.28515625" style="1" customWidth="1"/>
    <col min="2819" max="2819" width="37.5703125" style="1" customWidth="1"/>
    <col min="2820" max="2820" width="12.28515625" style="1" customWidth="1"/>
    <col min="2821" max="2823" width="9.140625" style="1" customWidth="1"/>
    <col min="2824" max="2824" width="9" style="1" customWidth="1"/>
    <col min="2825" max="2825" width="9.5703125" style="1" customWidth="1"/>
    <col min="2826" max="2826" width="9.7109375" style="1" customWidth="1"/>
    <col min="2827" max="2827" width="11.7109375" style="1" customWidth="1"/>
    <col min="2828" max="2828" width="12" style="1" customWidth="1"/>
    <col min="2829" max="2829" width="10.42578125" style="1" customWidth="1"/>
    <col min="2830" max="2830" width="9.140625" style="1" customWidth="1"/>
    <col min="2831" max="3073" width="9.140625" style="1"/>
    <col min="3074" max="3074" width="5.28515625" style="1" customWidth="1"/>
    <col min="3075" max="3075" width="37.5703125" style="1" customWidth="1"/>
    <col min="3076" max="3076" width="12.28515625" style="1" customWidth="1"/>
    <col min="3077" max="3079" width="9.140625" style="1" customWidth="1"/>
    <col min="3080" max="3080" width="9" style="1" customWidth="1"/>
    <col min="3081" max="3081" width="9.5703125" style="1" customWidth="1"/>
    <col min="3082" max="3082" width="9.7109375" style="1" customWidth="1"/>
    <col min="3083" max="3083" width="11.7109375" style="1" customWidth="1"/>
    <col min="3084" max="3084" width="12" style="1" customWidth="1"/>
    <col min="3085" max="3085" width="10.42578125" style="1" customWidth="1"/>
    <col min="3086" max="3086" width="9.140625" style="1" customWidth="1"/>
    <col min="3087" max="3329" width="9.140625" style="1"/>
    <col min="3330" max="3330" width="5.28515625" style="1" customWidth="1"/>
    <col min="3331" max="3331" width="37.5703125" style="1" customWidth="1"/>
    <col min="3332" max="3332" width="12.28515625" style="1" customWidth="1"/>
    <col min="3333" max="3335" width="9.140625" style="1" customWidth="1"/>
    <col min="3336" max="3336" width="9" style="1" customWidth="1"/>
    <col min="3337" max="3337" width="9.5703125" style="1" customWidth="1"/>
    <col min="3338" max="3338" width="9.7109375" style="1" customWidth="1"/>
    <col min="3339" max="3339" width="11.7109375" style="1" customWidth="1"/>
    <col min="3340" max="3340" width="12" style="1" customWidth="1"/>
    <col min="3341" max="3341" width="10.42578125" style="1" customWidth="1"/>
    <col min="3342" max="3342" width="9.140625" style="1" customWidth="1"/>
    <col min="3343" max="3585" width="9.140625" style="1"/>
    <col min="3586" max="3586" width="5.28515625" style="1" customWidth="1"/>
    <col min="3587" max="3587" width="37.5703125" style="1" customWidth="1"/>
    <col min="3588" max="3588" width="12.28515625" style="1" customWidth="1"/>
    <col min="3589" max="3591" width="9.140625" style="1" customWidth="1"/>
    <col min="3592" max="3592" width="9" style="1" customWidth="1"/>
    <col min="3593" max="3593" width="9.5703125" style="1" customWidth="1"/>
    <col min="3594" max="3594" width="9.7109375" style="1" customWidth="1"/>
    <col min="3595" max="3595" width="11.7109375" style="1" customWidth="1"/>
    <col min="3596" max="3596" width="12" style="1" customWidth="1"/>
    <col min="3597" max="3597" width="10.42578125" style="1" customWidth="1"/>
    <col min="3598" max="3598" width="9.140625" style="1" customWidth="1"/>
    <col min="3599" max="3841" width="9.140625" style="1"/>
    <col min="3842" max="3842" width="5.28515625" style="1" customWidth="1"/>
    <col min="3843" max="3843" width="37.5703125" style="1" customWidth="1"/>
    <col min="3844" max="3844" width="12.28515625" style="1" customWidth="1"/>
    <col min="3845" max="3847" width="9.140625" style="1" customWidth="1"/>
    <col min="3848" max="3848" width="9" style="1" customWidth="1"/>
    <col min="3849" max="3849" width="9.5703125" style="1" customWidth="1"/>
    <col min="3850" max="3850" width="9.7109375" style="1" customWidth="1"/>
    <col min="3851" max="3851" width="11.7109375" style="1" customWidth="1"/>
    <col min="3852" max="3852" width="12" style="1" customWidth="1"/>
    <col min="3853" max="3853" width="10.42578125" style="1" customWidth="1"/>
    <col min="3854" max="3854" width="9.140625" style="1" customWidth="1"/>
    <col min="3855" max="4097" width="9.140625" style="1"/>
    <col min="4098" max="4098" width="5.28515625" style="1" customWidth="1"/>
    <col min="4099" max="4099" width="37.5703125" style="1" customWidth="1"/>
    <col min="4100" max="4100" width="12.28515625" style="1" customWidth="1"/>
    <col min="4101" max="4103" width="9.140625" style="1" customWidth="1"/>
    <col min="4104" max="4104" width="9" style="1" customWidth="1"/>
    <col min="4105" max="4105" width="9.5703125" style="1" customWidth="1"/>
    <col min="4106" max="4106" width="9.7109375" style="1" customWidth="1"/>
    <col min="4107" max="4107" width="11.7109375" style="1" customWidth="1"/>
    <col min="4108" max="4108" width="12" style="1" customWidth="1"/>
    <col min="4109" max="4109" width="10.42578125" style="1" customWidth="1"/>
    <col min="4110" max="4110" width="9.140625" style="1" customWidth="1"/>
    <col min="4111" max="4353" width="9.140625" style="1"/>
    <col min="4354" max="4354" width="5.28515625" style="1" customWidth="1"/>
    <col min="4355" max="4355" width="37.5703125" style="1" customWidth="1"/>
    <col min="4356" max="4356" width="12.28515625" style="1" customWidth="1"/>
    <col min="4357" max="4359" width="9.140625" style="1" customWidth="1"/>
    <col min="4360" max="4360" width="9" style="1" customWidth="1"/>
    <col min="4361" max="4361" width="9.5703125" style="1" customWidth="1"/>
    <col min="4362" max="4362" width="9.7109375" style="1" customWidth="1"/>
    <col min="4363" max="4363" width="11.7109375" style="1" customWidth="1"/>
    <col min="4364" max="4364" width="12" style="1" customWidth="1"/>
    <col min="4365" max="4365" width="10.42578125" style="1" customWidth="1"/>
    <col min="4366" max="4366" width="9.140625" style="1" customWidth="1"/>
    <col min="4367" max="4609" width="9.140625" style="1"/>
    <col min="4610" max="4610" width="5.28515625" style="1" customWidth="1"/>
    <col min="4611" max="4611" width="37.5703125" style="1" customWidth="1"/>
    <col min="4612" max="4612" width="12.28515625" style="1" customWidth="1"/>
    <col min="4613" max="4615" width="9.140625" style="1" customWidth="1"/>
    <col min="4616" max="4616" width="9" style="1" customWidth="1"/>
    <col min="4617" max="4617" width="9.5703125" style="1" customWidth="1"/>
    <col min="4618" max="4618" width="9.7109375" style="1" customWidth="1"/>
    <col min="4619" max="4619" width="11.7109375" style="1" customWidth="1"/>
    <col min="4620" max="4620" width="12" style="1" customWidth="1"/>
    <col min="4621" max="4621" width="10.42578125" style="1" customWidth="1"/>
    <col min="4622" max="4622" width="9.140625" style="1" customWidth="1"/>
    <col min="4623" max="4865" width="9.140625" style="1"/>
    <col min="4866" max="4866" width="5.28515625" style="1" customWidth="1"/>
    <col min="4867" max="4867" width="37.5703125" style="1" customWidth="1"/>
    <col min="4868" max="4868" width="12.28515625" style="1" customWidth="1"/>
    <col min="4869" max="4871" width="9.140625" style="1" customWidth="1"/>
    <col min="4872" max="4872" width="9" style="1" customWidth="1"/>
    <col min="4873" max="4873" width="9.5703125" style="1" customWidth="1"/>
    <col min="4874" max="4874" width="9.7109375" style="1" customWidth="1"/>
    <col min="4875" max="4875" width="11.7109375" style="1" customWidth="1"/>
    <col min="4876" max="4876" width="12" style="1" customWidth="1"/>
    <col min="4877" max="4877" width="10.42578125" style="1" customWidth="1"/>
    <col min="4878" max="4878" width="9.140625" style="1" customWidth="1"/>
    <col min="4879" max="5121" width="9.140625" style="1"/>
    <col min="5122" max="5122" width="5.28515625" style="1" customWidth="1"/>
    <col min="5123" max="5123" width="37.5703125" style="1" customWidth="1"/>
    <col min="5124" max="5124" width="12.28515625" style="1" customWidth="1"/>
    <col min="5125" max="5127" width="9.140625" style="1" customWidth="1"/>
    <col min="5128" max="5128" width="9" style="1" customWidth="1"/>
    <col min="5129" max="5129" width="9.5703125" style="1" customWidth="1"/>
    <col min="5130" max="5130" width="9.7109375" style="1" customWidth="1"/>
    <col min="5131" max="5131" width="11.7109375" style="1" customWidth="1"/>
    <col min="5132" max="5132" width="12" style="1" customWidth="1"/>
    <col min="5133" max="5133" width="10.42578125" style="1" customWidth="1"/>
    <col min="5134" max="5134" width="9.140625" style="1" customWidth="1"/>
    <col min="5135" max="5377" width="9.140625" style="1"/>
    <col min="5378" max="5378" width="5.28515625" style="1" customWidth="1"/>
    <col min="5379" max="5379" width="37.5703125" style="1" customWidth="1"/>
    <col min="5380" max="5380" width="12.28515625" style="1" customWidth="1"/>
    <col min="5381" max="5383" width="9.140625" style="1" customWidth="1"/>
    <col min="5384" max="5384" width="9" style="1" customWidth="1"/>
    <col min="5385" max="5385" width="9.5703125" style="1" customWidth="1"/>
    <col min="5386" max="5386" width="9.7109375" style="1" customWidth="1"/>
    <col min="5387" max="5387" width="11.7109375" style="1" customWidth="1"/>
    <col min="5388" max="5388" width="12" style="1" customWidth="1"/>
    <col min="5389" max="5389" width="10.42578125" style="1" customWidth="1"/>
    <col min="5390" max="5390" width="9.140625" style="1" customWidth="1"/>
    <col min="5391" max="5633" width="9.140625" style="1"/>
    <col min="5634" max="5634" width="5.28515625" style="1" customWidth="1"/>
    <col min="5635" max="5635" width="37.5703125" style="1" customWidth="1"/>
    <col min="5636" max="5636" width="12.28515625" style="1" customWidth="1"/>
    <col min="5637" max="5639" width="9.140625" style="1" customWidth="1"/>
    <col min="5640" max="5640" width="9" style="1" customWidth="1"/>
    <col min="5641" max="5641" width="9.5703125" style="1" customWidth="1"/>
    <col min="5642" max="5642" width="9.7109375" style="1" customWidth="1"/>
    <col min="5643" max="5643" width="11.7109375" style="1" customWidth="1"/>
    <col min="5644" max="5644" width="12" style="1" customWidth="1"/>
    <col min="5645" max="5645" width="10.42578125" style="1" customWidth="1"/>
    <col min="5646" max="5646" width="9.140625" style="1" customWidth="1"/>
    <col min="5647" max="5889" width="9.140625" style="1"/>
    <col min="5890" max="5890" width="5.28515625" style="1" customWidth="1"/>
    <col min="5891" max="5891" width="37.5703125" style="1" customWidth="1"/>
    <col min="5892" max="5892" width="12.28515625" style="1" customWidth="1"/>
    <col min="5893" max="5895" width="9.140625" style="1" customWidth="1"/>
    <col min="5896" max="5896" width="9" style="1" customWidth="1"/>
    <col min="5897" max="5897" width="9.5703125" style="1" customWidth="1"/>
    <col min="5898" max="5898" width="9.7109375" style="1" customWidth="1"/>
    <col min="5899" max="5899" width="11.7109375" style="1" customWidth="1"/>
    <col min="5900" max="5900" width="12" style="1" customWidth="1"/>
    <col min="5901" max="5901" width="10.42578125" style="1" customWidth="1"/>
    <col min="5902" max="5902" width="9.140625" style="1" customWidth="1"/>
    <col min="5903" max="6145" width="9.140625" style="1"/>
    <col min="6146" max="6146" width="5.28515625" style="1" customWidth="1"/>
    <col min="6147" max="6147" width="37.5703125" style="1" customWidth="1"/>
    <col min="6148" max="6148" width="12.28515625" style="1" customWidth="1"/>
    <col min="6149" max="6151" width="9.140625" style="1" customWidth="1"/>
    <col min="6152" max="6152" width="9" style="1" customWidth="1"/>
    <col min="6153" max="6153" width="9.5703125" style="1" customWidth="1"/>
    <col min="6154" max="6154" width="9.7109375" style="1" customWidth="1"/>
    <col min="6155" max="6155" width="11.7109375" style="1" customWidth="1"/>
    <col min="6156" max="6156" width="12" style="1" customWidth="1"/>
    <col min="6157" max="6157" width="10.42578125" style="1" customWidth="1"/>
    <col min="6158" max="6158" width="9.140625" style="1" customWidth="1"/>
    <col min="6159" max="6401" width="9.140625" style="1"/>
    <col min="6402" max="6402" width="5.28515625" style="1" customWidth="1"/>
    <col min="6403" max="6403" width="37.5703125" style="1" customWidth="1"/>
    <col min="6404" max="6404" width="12.28515625" style="1" customWidth="1"/>
    <col min="6405" max="6407" width="9.140625" style="1" customWidth="1"/>
    <col min="6408" max="6408" width="9" style="1" customWidth="1"/>
    <col min="6409" max="6409" width="9.5703125" style="1" customWidth="1"/>
    <col min="6410" max="6410" width="9.7109375" style="1" customWidth="1"/>
    <col min="6411" max="6411" width="11.7109375" style="1" customWidth="1"/>
    <col min="6412" max="6412" width="12" style="1" customWidth="1"/>
    <col min="6413" max="6413" width="10.42578125" style="1" customWidth="1"/>
    <col min="6414" max="6414" width="9.140625" style="1" customWidth="1"/>
    <col min="6415" max="6657" width="9.140625" style="1"/>
    <col min="6658" max="6658" width="5.28515625" style="1" customWidth="1"/>
    <col min="6659" max="6659" width="37.5703125" style="1" customWidth="1"/>
    <col min="6660" max="6660" width="12.28515625" style="1" customWidth="1"/>
    <col min="6661" max="6663" width="9.140625" style="1" customWidth="1"/>
    <col min="6664" max="6664" width="9" style="1" customWidth="1"/>
    <col min="6665" max="6665" width="9.5703125" style="1" customWidth="1"/>
    <col min="6666" max="6666" width="9.7109375" style="1" customWidth="1"/>
    <col min="6667" max="6667" width="11.7109375" style="1" customWidth="1"/>
    <col min="6668" max="6668" width="12" style="1" customWidth="1"/>
    <col min="6669" max="6669" width="10.42578125" style="1" customWidth="1"/>
    <col min="6670" max="6670" width="9.140625" style="1" customWidth="1"/>
    <col min="6671" max="6913" width="9.140625" style="1"/>
    <col min="6914" max="6914" width="5.28515625" style="1" customWidth="1"/>
    <col min="6915" max="6915" width="37.5703125" style="1" customWidth="1"/>
    <col min="6916" max="6916" width="12.28515625" style="1" customWidth="1"/>
    <col min="6917" max="6919" width="9.140625" style="1" customWidth="1"/>
    <col min="6920" max="6920" width="9" style="1" customWidth="1"/>
    <col min="6921" max="6921" width="9.5703125" style="1" customWidth="1"/>
    <col min="6922" max="6922" width="9.7109375" style="1" customWidth="1"/>
    <col min="6923" max="6923" width="11.7109375" style="1" customWidth="1"/>
    <col min="6924" max="6924" width="12" style="1" customWidth="1"/>
    <col min="6925" max="6925" width="10.42578125" style="1" customWidth="1"/>
    <col min="6926" max="6926" width="9.140625" style="1" customWidth="1"/>
    <col min="6927" max="7169" width="9.140625" style="1"/>
    <col min="7170" max="7170" width="5.28515625" style="1" customWidth="1"/>
    <col min="7171" max="7171" width="37.5703125" style="1" customWidth="1"/>
    <col min="7172" max="7172" width="12.28515625" style="1" customWidth="1"/>
    <col min="7173" max="7175" width="9.140625" style="1" customWidth="1"/>
    <col min="7176" max="7176" width="9" style="1" customWidth="1"/>
    <col min="7177" max="7177" width="9.5703125" style="1" customWidth="1"/>
    <col min="7178" max="7178" width="9.7109375" style="1" customWidth="1"/>
    <col min="7179" max="7179" width="11.7109375" style="1" customWidth="1"/>
    <col min="7180" max="7180" width="12" style="1" customWidth="1"/>
    <col min="7181" max="7181" width="10.42578125" style="1" customWidth="1"/>
    <col min="7182" max="7182" width="9.140625" style="1" customWidth="1"/>
    <col min="7183" max="7425" width="9.140625" style="1"/>
    <col min="7426" max="7426" width="5.28515625" style="1" customWidth="1"/>
    <col min="7427" max="7427" width="37.5703125" style="1" customWidth="1"/>
    <col min="7428" max="7428" width="12.28515625" style="1" customWidth="1"/>
    <col min="7429" max="7431" width="9.140625" style="1" customWidth="1"/>
    <col min="7432" max="7432" width="9" style="1" customWidth="1"/>
    <col min="7433" max="7433" width="9.5703125" style="1" customWidth="1"/>
    <col min="7434" max="7434" width="9.7109375" style="1" customWidth="1"/>
    <col min="7435" max="7435" width="11.7109375" style="1" customWidth="1"/>
    <col min="7436" max="7436" width="12" style="1" customWidth="1"/>
    <col min="7437" max="7437" width="10.42578125" style="1" customWidth="1"/>
    <col min="7438" max="7438" width="9.140625" style="1" customWidth="1"/>
    <col min="7439" max="7681" width="9.140625" style="1"/>
    <col min="7682" max="7682" width="5.28515625" style="1" customWidth="1"/>
    <col min="7683" max="7683" width="37.5703125" style="1" customWidth="1"/>
    <col min="7684" max="7684" width="12.28515625" style="1" customWidth="1"/>
    <col min="7685" max="7687" width="9.140625" style="1" customWidth="1"/>
    <col min="7688" max="7688" width="9" style="1" customWidth="1"/>
    <col min="7689" max="7689" width="9.5703125" style="1" customWidth="1"/>
    <col min="7690" max="7690" width="9.7109375" style="1" customWidth="1"/>
    <col min="7691" max="7691" width="11.7109375" style="1" customWidth="1"/>
    <col min="7692" max="7692" width="12" style="1" customWidth="1"/>
    <col min="7693" max="7693" width="10.42578125" style="1" customWidth="1"/>
    <col min="7694" max="7694" width="9.140625" style="1" customWidth="1"/>
    <col min="7695" max="7937" width="9.140625" style="1"/>
    <col min="7938" max="7938" width="5.28515625" style="1" customWidth="1"/>
    <col min="7939" max="7939" width="37.5703125" style="1" customWidth="1"/>
    <col min="7940" max="7940" width="12.28515625" style="1" customWidth="1"/>
    <col min="7941" max="7943" width="9.140625" style="1" customWidth="1"/>
    <col min="7944" max="7944" width="9" style="1" customWidth="1"/>
    <col min="7945" max="7945" width="9.5703125" style="1" customWidth="1"/>
    <col min="7946" max="7946" width="9.7109375" style="1" customWidth="1"/>
    <col min="7947" max="7947" width="11.7109375" style="1" customWidth="1"/>
    <col min="7948" max="7948" width="12" style="1" customWidth="1"/>
    <col min="7949" max="7949" width="10.42578125" style="1" customWidth="1"/>
    <col min="7950" max="7950" width="9.140625" style="1" customWidth="1"/>
    <col min="7951" max="8193" width="9.140625" style="1"/>
    <col min="8194" max="8194" width="5.28515625" style="1" customWidth="1"/>
    <col min="8195" max="8195" width="37.5703125" style="1" customWidth="1"/>
    <col min="8196" max="8196" width="12.28515625" style="1" customWidth="1"/>
    <col min="8197" max="8199" width="9.140625" style="1" customWidth="1"/>
    <col min="8200" max="8200" width="9" style="1" customWidth="1"/>
    <col min="8201" max="8201" width="9.5703125" style="1" customWidth="1"/>
    <col min="8202" max="8202" width="9.7109375" style="1" customWidth="1"/>
    <col min="8203" max="8203" width="11.7109375" style="1" customWidth="1"/>
    <col min="8204" max="8204" width="12" style="1" customWidth="1"/>
    <col min="8205" max="8205" width="10.42578125" style="1" customWidth="1"/>
    <col min="8206" max="8206" width="9.140625" style="1" customWidth="1"/>
    <col min="8207" max="8449" width="9.140625" style="1"/>
    <col min="8450" max="8450" width="5.28515625" style="1" customWidth="1"/>
    <col min="8451" max="8451" width="37.5703125" style="1" customWidth="1"/>
    <col min="8452" max="8452" width="12.28515625" style="1" customWidth="1"/>
    <col min="8453" max="8455" width="9.140625" style="1" customWidth="1"/>
    <col min="8456" max="8456" width="9" style="1" customWidth="1"/>
    <col min="8457" max="8457" width="9.5703125" style="1" customWidth="1"/>
    <col min="8458" max="8458" width="9.7109375" style="1" customWidth="1"/>
    <col min="8459" max="8459" width="11.7109375" style="1" customWidth="1"/>
    <col min="8460" max="8460" width="12" style="1" customWidth="1"/>
    <col min="8461" max="8461" width="10.42578125" style="1" customWidth="1"/>
    <col min="8462" max="8462" width="9.140625" style="1" customWidth="1"/>
    <col min="8463" max="8705" width="9.140625" style="1"/>
    <col min="8706" max="8706" width="5.28515625" style="1" customWidth="1"/>
    <col min="8707" max="8707" width="37.5703125" style="1" customWidth="1"/>
    <col min="8708" max="8708" width="12.28515625" style="1" customWidth="1"/>
    <col min="8709" max="8711" width="9.140625" style="1" customWidth="1"/>
    <col min="8712" max="8712" width="9" style="1" customWidth="1"/>
    <col min="8713" max="8713" width="9.5703125" style="1" customWidth="1"/>
    <col min="8714" max="8714" width="9.7109375" style="1" customWidth="1"/>
    <col min="8715" max="8715" width="11.7109375" style="1" customWidth="1"/>
    <col min="8716" max="8716" width="12" style="1" customWidth="1"/>
    <col min="8717" max="8717" width="10.42578125" style="1" customWidth="1"/>
    <col min="8718" max="8718" width="9.140625" style="1" customWidth="1"/>
    <col min="8719" max="8961" width="9.140625" style="1"/>
    <col min="8962" max="8962" width="5.28515625" style="1" customWidth="1"/>
    <col min="8963" max="8963" width="37.5703125" style="1" customWidth="1"/>
    <col min="8964" max="8964" width="12.28515625" style="1" customWidth="1"/>
    <col min="8965" max="8967" width="9.140625" style="1" customWidth="1"/>
    <col min="8968" max="8968" width="9" style="1" customWidth="1"/>
    <col min="8969" max="8969" width="9.5703125" style="1" customWidth="1"/>
    <col min="8970" max="8970" width="9.7109375" style="1" customWidth="1"/>
    <col min="8971" max="8971" width="11.7109375" style="1" customWidth="1"/>
    <col min="8972" max="8972" width="12" style="1" customWidth="1"/>
    <col min="8973" max="8973" width="10.42578125" style="1" customWidth="1"/>
    <col min="8974" max="8974" width="9.140625" style="1" customWidth="1"/>
    <col min="8975" max="9217" width="9.140625" style="1"/>
    <col min="9218" max="9218" width="5.28515625" style="1" customWidth="1"/>
    <col min="9219" max="9219" width="37.5703125" style="1" customWidth="1"/>
    <col min="9220" max="9220" width="12.28515625" style="1" customWidth="1"/>
    <col min="9221" max="9223" width="9.140625" style="1" customWidth="1"/>
    <col min="9224" max="9224" width="9" style="1" customWidth="1"/>
    <col min="9225" max="9225" width="9.5703125" style="1" customWidth="1"/>
    <col min="9226" max="9226" width="9.7109375" style="1" customWidth="1"/>
    <col min="9227" max="9227" width="11.7109375" style="1" customWidth="1"/>
    <col min="9228" max="9228" width="12" style="1" customWidth="1"/>
    <col min="9229" max="9229" width="10.42578125" style="1" customWidth="1"/>
    <col min="9230" max="9230" width="9.140625" style="1" customWidth="1"/>
    <col min="9231" max="9473" width="9.140625" style="1"/>
    <col min="9474" max="9474" width="5.28515625" style="1" customWidth="1"/>
    <col min="9475" max="9475" width="37.5703125" style="1" customWidth="1"/>
    <col min="9476" max="9476" width="12.28515625" style="1" customWidth="1"/>
    <col min="9477" max="9479" width="9.140625" style="1" customWidth="1"/>
    <col min="9480" max="9480" width="9" style="1" customWidth="1"/>
    <col min="9481" max="9481" width="9.5703125" style="1" customWidth="1"/>
    <col min="9482" max="9482" width="9.7109375" style="1" customWidth="1"/>
    <col min="9483" max="9483" width="11.7109375" style="1" customWidth="1"/>
    <col min="9484" max="9484" width="12" style="1" customWidth="1"/>
    <col min="9485" max="9485" width="10.42578125" style="1" customWidth="1"/>
    <col min="9486" max="9486" width="9.140625" style="1" customWidth="1"/>
    <col min="9487" max="9729" width="9.140625" style="1"/>
    <col min="9730" max="9730" width="5.28515625" style="1" customWidth="1"/>
    <col min="9731" max="9731" width="37.5703125" style="1" customWidth="1"/>
    <col min="9732" max="9732" width="12.28515625" style="1" customWidth="1"/>
    <col min="9733" max="9735" width="9.140625" style="1" customWidth="1"/>
    <col min="9736" max="9736" width="9" style="1" customWidth="1"/>
    <col min="9737" max="9737" width="9.5703125" style="1" customWidth="1"/>
    <col min="9738" max="9738" width="9.7109375" style="1" customWidth="1"/>
    <col min="9739" max="9739" width="11.7109375" style="1" customWidth="1"/>
    <col min="9740" max="9740" width="12" style="1" customWidth="1"/>
    <col min="9741" max="9741" width="10.42578125" style="1" customWidth="1"/>
    <col min="9742" max="9742" width="9.140625" style="1" customWidth="1"/>
    <col min="9743" max="9985" width="9.140625" style="1"/>
    <col min="9986" max="9986" width="5.28515625" style="1" customWidth="1"/>
    <col min="9987" max="9987" width="37.5703125" style="1" customWidth="1"/>
    <col min="9988" max="9988" width="12.28515625" style="1" customWidth="1"/>
    <col min="9989" max="9991" width="9.140625" style="1" customWidth="1"/>
    <col min="9992" max="9992" width="9" style="1" customWidth="1"/>
    <col min="9993" max="9993" width="9.5703125" style="1" customWidth="1"/>
    <col min="9994" max="9994" width="9.7109375" style="1" customWidth="1"/>
    <col min="9995" max="9995" width="11.7109375" style="1" customWidth="1"/>
    <col min="9996" max="9996" width="12" style="1" customWidth="1"/>
    <col min="9997" max="9997" width="10.42578125" style="1" customWidth="1"/>
    <col min="9998" max="9998" width="9.140625" style="1" customWidth="1"/>
    <col min="9999" max="10241" width="9.140625" style="1"/>
    <col min="10242" max="10242" width="5.28515625" style="1" customWidth="1"/>
    <col min="10243" max="10243" width="37.5703125" style="1" customWidth="1"/>
    <col min="10244" max="10244" width="12.28515625" style="1" customWidth="1"/>
    <col min="10245" max="10247" width="9.140625" style="1" customWidth="1"/>
    <col min="10248" max="10248" width="9" style="1" customWidth="1"/>
    <col min="10249" max="10249" width="9.5703125" style="1" customWidth="1"/>
    <col min="10250" max="10250" width="9.7109375" style="1" customWidth="1"/>
    <col min="10251" max="10251" width="11.7109375" style="1" customWidth="1"/>
    <col min="10252" max="10252" width="12" style="1" customWidth="1"/>
    <col min="10253" max="10253" width="10.42578125" style="1" customWidth="1"/>
    <col min="10254" max="10254" width="9.140625" style="1" customWidth="1"/>
    <col min="10255" max="10497" width="9.140625" style="1"/>
    <col min="10498" max="10498" width="5.28515625" style="1" customWidth="1"/>
    <col min="10499" max="10499" width="37.5703125" style="1" customWidth="1"/>
    <col min="10500" max="10500" width="12.28515625" style="1" customWidth="1"/>
    <col min="10501" max="10503" width="9.140625" style="1" customWidth="1"/>
    <col min="10504" max="10504" width="9" style="1" customWidth="1"/>
    <col min="10505" max="10505" width="9.5703125" style="1" customWidth="1"/>
    <col min="10506" max="10506" width="9.7109375" style="1" customWidth="1"/>
    <col min="10507" max="10507" width="11.7109375" style="1" customWidth="1"/>
    <col min="10508" max="10508" width="12" style="1" customWidth="1"/>
    <col min="10509" max="10509" width="10.42578125" style="1" customWidth="1"/>
    <col min="10510" max="10510" width="9.140625" style="1" customWidth="1"/>
    <col min="10511" max="10753" width="9.140625" style="1"/>
    <col min="10754" max="10754" width="5.28515625" style="1" customWidth="1"/>
    <col min="10755" max="10755" width="37.5703125" style="1" customWidth="1"/>
    <col min="10756" max="10756" width="12.28515625" style="1" customWidth="1"/>
    <col min="10757" max="10759" width="9.140625" style="1" customWidth="1"/>
    <col min="10760" max="10760" width="9" style="1" customWidth="1"/>
    <col min="10761" max="10761" width="9.5703125" style="1" customWidth="1"/>
    <col min="10762" max="10762" width="9.7109375" style="1" customWidth="1"/>
    <col min="10763" max="10763" width="11.7109375" style="1" customWidth="1"/>
    <col min="10764" max="10764" width="12" style="1" customWidth="1"/>
    <col min="10765" max="10765" width="10.42578125" style="1" customWidth="1"/>
    <col min="10766" max="10766" width="9.140625" style="1" customWidth="1"/>
    <col min="10767" max="11009" width="9.140625" style="1"/>
    <col min="11010" max="11010" width="5.28515625" style="1" customWidth="1"/>
    <col min="11011" max="11011" width="37.5703125" style="1" customWidth="1"/>
    <col min="11012" max="11012" width="12.28515625" style="1" customWidth="1"/>
    <col min="11013" max="11015" width="9.140625" style="1" customWidth="1"/>
    <col min="11016" max="11016" width="9" style="1" customWidth="1"/>
    <col min="11017" max="11017" width="9.5703125" style="1" customWidth="1"/>
    <col min="11018" max="11018" width="9.7109375" style="1" customWidth="1"/>
    <col min="11019" max="11019" width="11.7109375" style="1" customWidth="1"/>
    <col min="11020" max="11020" width="12" style="1" customWidth="1"/>
    <col min="11021" max="11021" width="10.42578125" style="1" customWidth="1"/>
    <col min="11022" max="11022" width="9.140625" style="1" customWidth="1"/>
    <col min="11023" max="11265" width="9.140625" style="1"/>
    <col min="11266" max="11266" width="5.28515625" style="1" customWidth="1"/>
    <col min="11267" max="11267" width="37.5703125" style="1" customWidth="1"/>
    <col min="11268" max="11268" width="12.28515625" style="1" customWidth="1"/>
    <col min="11269" max="11271" width="9.140625" style="1" customWidth="1"/>
    <col min="11272" max="11272" width="9" style="1" customWidth="1"/>
    <col min="11273" max="11273" width="9.5703125" style="1" customWidth="1"/>
    <col min="11274" max="11274" width="9.7109375" style="1" customWidth="1"/>
    <col min="11275" max="11275" width="11.7109375" style="1" customWidth="1"/>
    <col min="11276" max="11276" width="12" style="1" customWidth="1"/>
    <col min="11277" max="11277" width="10.42578125" style="1" customWidth="1"/>
    <col min="11278" max="11278" width="9.140625" style="1" customWidth="1"/>
    <col min="11279" max="11521" width="9.140625" style="1"/>
    <col min="11522" max="11522" width="5.28515625" style="1" customWidth="1"/>
    <col min="11523" max="11523" width="37.5703125" style="1" customWidth="1"/>
    <col min="11524" max="11524" width="12.28515625" style="1" customWidth="1"/>
    <col min="11525" max="11527" width="9.140625" style="1" customWidth="1"/>
    <col min="11528" max="11528" width="9" style="1" customWidth="1"/>
    <col min="11529" max="11529" width="9.5703125" style="1" customWidth="1"/>
    <col min="11530" max="11530" width="9.7109375" style="1" customWidth="1"/>
    <col min="11531" max="11531" width="11.7109375" style="1" customWidth="1"/>
    <col min="11532" max="11532" width="12" style="1" customWidth="1"/>
    <col min="11533" max="11533" width="10.42578125" style="1" customWidth="1"/>
    <col min="11534" max="11534" width="9.140625" style="1" customWidth="1"/>
    <col min="11535" max="11777" width="9.140625" style="1"/>
    <col min="11778" max="11778" width="5.28515625" style="1" customWidth="1"/>
    <col min="11779" max="11779" width="37.5703125" style="1" customWidth="1"/>
    <col min="11780" max="11780" width="12.28515625" style="1" customWidth="1"/>
    <col min="11781" max="11783" width="9.140625" style="1" customWidth="1"/>
    <col min="11784" max="11784" width="9" style="1" customWidth="1"/>
    <col min="11785" max="11785" width="9.5703125" style="1" customWidth="1"/>
    <col min="11786" max="11786" width="9.7109375" style="1" customWidth="1"/>
    <col min="11787" max="11787" width="11.7109375" style="1" customWidth="1"/>
    <col min="11788" max="11788" width="12" style="1" customWidth="1"/>
    <col min="11789" max="11789" width="10.42578125" style="1" customWidth="1"/>
    <col min="11790" max="11790" width="9.140625" style="1" customWidth="1"/>
    <col min="11791" max="12033" width="9.140625" style="1"/>
    <col min="12034" max="12034" width="5.28515625" style="1" customWidth="1"/>
    <col min="12035" max="12035" width="37.5703125" style="1" customWidth="1"/>
    <col min="12036" max="12036" width="12.28515625" style="1" customWidth="1"/>
    <col min="12037" max="12039" width="9.140625" style="1" customWidth="1"/>
    <col min="12040" max="12040" width="9" style="1" customWidth="1"/>
    <col min="12041" max="12041" width="9.5703125" style="1" customWidth="1"/>
    <col min="12042" max="12042" width="9.7109375" style="1" customWidth="1"/>
    <col min="12043" max="12043" width="11.7109375" style="1" customWidth="1"/>
    <col min="12044" max="12044" width="12" style="1" customWidth="1"/>
    <col min="12045" max="12045" width="10.42578125" style="1" customWidth="1"/>
    <col min="12046" max="12046" width="9.140625" style="1" customWidth="1"/>
    <col min="12047" max="12289" width="9.140625" style="1"/>
    <col min="12290" max="12290" width="5.28515625" style="1" customWidth="1"/>
    <col min="12291" max="12291" width="37.5703125" style="1" customWidth="1"/>
    <col min="12292" max="12292" width="12.28515625" style="1" customWidth="1"/>
    <col min="12293" max="12295" width="9.140625" style="1" customWidth="1"/>
    <col min="12296" max="12296" width="9" style="1" customWidth="1"/>
    <col min="12297" max="12297" width="9.5703125" style="1" customWidth="1"/>
    <col min="12298" max="12298" width="9.7109375" style="1" customWidth="1"/>
    <col min="12299" max="12299" width="11.7109375" style="1" customWidth="1"/>
    <col min="12300" max="12300" width="12" style="1" customWidth="1"/>
    <col min="12301" max="12301" width="10.42578125" style="1" customWidth="1"/>
    <col min="12302" max="12302" width="9.140625" style="1" customWidth="1"/>
    <col min="12303" max="12545" width="9.140625" style="1"/>
    <col min="12546" max="12546" width="5.28515625" style="1" customWidth="1"/>
    <col min="12547" max="12547" width="37.5703125" style="1" customWidth="1"/>
    <col min="12548" max="12548" width="12.28515625" style="1" customWidth="1"/>
    <col min="12549" max="12551" width="9.140625" style="1" customWidth="1"/>
    <col min="12552" max="12552" width="9" style="1" customWidth="1"/>
    <col min="12553" max="12553" width="9.5703125" style="1" customWidth="1"/>
    <col min="12554" max="12554" width="9.7109375" style="1" customWidth="1"/>
    <col min="12555" max="12555" width="11.7109375" style="1" customWidth="1"/>
    <col min="12556" max="12556" width="12" style="1" customWidth="1"/>
    <col min="12557" max="12557" width="10.42578125" style="1" customWidth="1"/>
    <col min="12558" max="12558" width="9.140625" style="1" customWidth="1"/>
    <col min="12559" max="12801" width="9.140625" style="1"/>
    <col min="12802" max="12802" width="5.28515625" style="1" customWidth="1"/>
    <col min="12803" max="12803" width="37.5703125" style="1" customWidth="1"/>
    <col min="12804" max="12804" width="12.28515625" style="1" customWidth="1"/>
    <col min="12805" max="12807" width="9.140625" style="1" customWidth="1"/>
    <col min="12808" max="12808" width="9" style="1" customWidth="1"/>
    <col min="12809" max="12809" width="9.5703125" style="1" customWidth="1"/>
    <col min="12810" max="12810" width="9.7109375" style="1" customWidth="1"/>
    <col min="12811" max="12811" width="11.7109375" style="1" customWidth="1"/>
    <col min="12812" max="12812" width="12" style="1" customWidth="1"/>
    <col min="12813" max="12813" width="10.42578125" style="1" customWidth="1"/>
    <col min="12814" max="12814" width="9.140625" style="1" customWidth="1"/>
    <col min="12815" max="13057" width="9.140625" style="1"/>
    <col min="13058" max="13058" width="5.28515625" style="1" customWidth="1"/>
    <col min="13059" max="13059" width="37.5703125" style="1" customWidth="1"/>
    <col min="13060" max="13060" width="12.28515625" style="1" customWidth="1"/>
    <col min="13061" max="13063" width="9.140625" style="1" customWidth="1"/>
    <col min="13064" max="13064" width="9" style="1" customWidth="1"/>
    <col min="13065" max="13065" width="9.5703125" style="1" customWidth="1"/>
    <col min="13066" max="13066" width="9.7109375" style="1" customWidth="1"/>
    <col min="13067" max="13067" width="11.7109375" style="1" customWidth="1"/>
    <col min="13068" max="13068" width="12" style="1" customWidth="1"/>
    <col min="13069" max="13069" width="10.42578125" style="1" customWidth="1"/>
    <col min="13070" max="13070" width="9.140625" style="1" customWidth="1"/>
    <col min="13071" max="13313" width="9.140625" style="1"/>
    <col min="13314" max="13314" width="5.28515625" style="1" customWidth="1"/>
    <col min="13315" max="13315" width="37.5703125" style="1" customWidth="1"/>
    <col min="13316" max="13316" width="12.28515625" style="1" customWidth="1"/>
    <col min="13317" max="13319" width="9.140625" style="1" customWidth="1"/>
    <col min="13320" max="13320" width="9" style="1" customWidth="1"/>
    <col min="13321" max="13321" width="9.5703125" style="1" customWidth="1"/>
    <col min="13322" max="13322" width="9.7109375" style="1" customWidth="1"/>
    <col min="13323" max="13323" width="11.7109375" style="1" customWidth="1"/>
    <col min="13324" max="13324" width="12" style="1" customWidth="1"/>
    <col min="13325" max="13325" width="10.42578125" style="1" customWidth="1"/>
    <col min="13326" max="13326" width="9.140625" style="1" customWidth="1"/>
    <col min="13327" max="13569" width="9.140625" style="1"/>
    <col min="13570" max="13570" width="5.28515625" style="1" customWidth="1"/>
    <col min="13571" max="13571" width="37.5703125" style="1" customWidth="1"/>
    <col min="13572" max="13572" width="12.28515625" style="1" customWidth="1"/>
    <col min="13573" max="13575" width="9.140625" style="1" customWidth="1"/>
    <col min="13576" max="13576" width="9" style="1" customWidth="1"/>
    <col min="13577" max="13577" width="9.5703125" style="1" customWidth="1"/>
    <col min="13578" max="13578" width="9.7109375" style="1" customWidth="1"/>
    <col min="13579" max="13579" width="11.7109375" style="1" customWidth="1"/>
    <col min="13580" max="13580" width="12" style="1" customWidth="1"/>
    <col min="13581" max="13581" width="10.42578125" style="1" customWidth="1"/>
    <col min="13582" max="13582" width="9.140625" style="1" customWidth="1"/>
    <col min="13583" max="13825" width="9.140625" style="1"/>
    <col min="13826" max="13826" width="5.28515625" style="1" customWidth="1"/>
    <col min="13827" max="13827" width="37.5703125" style="1" customWidth="1"/>
    <col min="13828" max="13828" width="12.28515625" style="1" customWidth="1"/>
    <col min="13829" max="13831" width="9.140625" style="1" customWidth="1"/>
    <col min="13832" max="13832" width="9" style="1" customWidth="1"/>
    <col min="13833" max="13833" width="9.5703125" style="1" customWidth="1"/>
    <col min="13834" max="13834" width="9.7109375" style="1" customWidth="1"/>
    <col min="13835" max="13835" width="11.7109375" style="1" customWidth="1"/>
    <col min="13836" max="13836" width="12" style="1" customWidth="1"/>
    <col min="13837" max="13837" width="10.42578125" style="1" customWidth="1"/>
    <col min="13838" max="13838" width="9.140625" style="1" customWidth="1"/>
    <col min="13839" max="14081" width="9.140625" style="1"/>
    <col min="14082" max="14082" width="5.28515625" style="1" customWidth="1"/>
    <col min="14083" max="14083" width="37.5703125" style="1" customWidth="1"/>
    <col min="14084" max="14084" width="12.28515625" style="1" customWidth="1"/>
    <col min="14085" max="14087" width="9.140625" style="1" customWidth="1"/>
    <col min="14088" max="14088" width="9" style="1" customWidth="1"/>
    <col min="14089" max="14089" width="9.5703125" style="1" customWidth="1"/>
    <col min="14090" max="14090" width="9.7109375" style="1" customWidth="1"/>
    <col min="14091" max="14091" width="11.7109375" style="1" customWidth="1"/>
    <col min="14092" max="14092" width="12" style="1" customWidth="1"/>
    <col min="14093" max="14093" width="10.42578125" style="1" customWidth="1"/>
    <col min="14094" max="14094" width="9.140625" style="1" customWidth="1"/>
    <col min="14095" max="14337" width="9.140625" style="1"/>
    <col min="14338" max="14338" width="5.28515625" style="1" customWidth="1"/>
    <col min="14339" max="14339" width="37.5703125" style="1" customWidth="1"/>
    <col min="14340" max="14340" width="12.28515625" style="1" customWidth="1"/>
    <col min="14341" max="14343" width="9.140625" style="1" customWidth="1"/>
    <col min="14344" max="14344" width="9" style="1" customWidth="1"/>
    <col min="14345" max="14345" width="9.5703125" style="1" customWidth="1"/>
    <col min="14346" max="14346" width="9.7109375" style="1" customWidth="1"/>
    <col min="14347" max="14347" width="11.7109375" style="1" customWidth="1"/>
    <col min="14348" max="14348" width="12" style="1" customWidth="1"/>
    <col min="14349" max="14349" width="10.42578125" style="1" customWidth="1"/>
    <col min="14350" max="14350" width="9.140625" style="1" customWidth="1"/>
    <col min="14351" max="14593" width="9.140625" style="1"/>
    <col min="14594" max="14594" width="5.28515625" style="1" customWidth="1"/>
    <col min="14595" max="14595" width="37.5703125" style="1" customWidth="1"/>
    <col min="14596" max="14596" width="12.28515625" style="1" customWidth="1"/>
    <col min="14597" max="14599" width="9.140625" style="1" customWidth="1"/>
    <col min="14600" max="14600" width="9" style="1" customWidth="1"/>
    <col min="14601" max="14601" width="9.5703125" style="1" customWidth="1"/>
    <col min="14602" max="14602" width="9.7109375" style="1" customWidth="1"/>
    <col min="14603" max="14603" width="11.7109375" style="1" customWidth="1"/>
    <col min="14604" max="14604" width="12" style="1" customWidth="1"/>
    <col min="14605" max="14605" width="10.42578125" style="1" customWidth="1"/>
    <col min="14606" max="14606" width="9.140625" style="1" customWidth="1"/>
    <col min="14607" max="14849" width="9.140625" style="1"/>
    <col min="14850" max="14850" width="5.28515625" style="1" customWidth="1"/>
    <col min="14851" max="14851" width="37.5703125" style="1" customWidth="1"/>
    <col min="14852" max="14852" width="12.28515625" style="1" customWidth="1"/>
    <col min="14853" max="14855" width="9.140625" style="1" customWidth="1"/>
    <col min="14856" max="14856" width="9" style="1" customWidth="1"/>
    <col min="14857" max="14857" width="9.5703125" style="1" customWidth="1"/>
    <col min="14858" max="14858" width="9.7109375" style="1" customWidth="1"/>
    <col min="14859" max="14859" width="11.7109375" style="1" customWidth="1"/>
    <col min="14860" max="14860" width="12" style="1" customWidth="1"/>
    <col min="14861" max="14861" width="10.42578125" style="1" customWidth="1"/>
    <col min="14862" max="14862" width="9.140625" style="1" customWidth="1"/>
    <col min="14863" max="15105" width="9.140625" style="1"/>
    <col min="15106" max="15106" width="5.28515625" style="1" customWidth="1"/>
    <col min="15107" max="15107" width="37.5703125" style="1" customWidth="1"/>
    <col min="15108" max="15108" width="12.28515625" style="1" customWidth="1"/>
    <col min="15109" max="15111" width="9.140625" style="1" customWidth="1"/>
    <col min="15112" max="15112" width="9" style="1" customWidth="1"/>
    <col min="15113" max="15113" width="9.5703125" style="1" customWidth="1"/>
    <col min="15114" max="15114" width="9.7109375" style="1" customWidth="1"/>
    <col min="15115" max="15115" width="11.7109375" style="1" customWidth="1"/>
    <col min="15116" max="15116" width="12" style="1" customWidth="1"/>
    <col min="15117" max="15117" width="10.42578125" style="1" customWidth="1"/>
    <col min="15118" max="15118" width="9.140625" style="1" customWidth="1"/>
    <col min="15119" max="15361" width="9.140625" style="1"/>
    <col min="15362" max="15362" width="5.28515625" style="1" customWidth="1"/>
    <col min="15363" max="15363" width="37.5703125" style="1" customWidth="1"/>
    <col min="15364" max="15364" width="12.28515625" style="1" customWidth="1"/>
    <col min="15365" max="15367" width="9.140625" style="1" customWidth="1"/>
    <col min="15368" max="15368" width="9" style="1" customWidth="1"/>
    <col min="15369" max="15369" width="9.5703125" style="1" customWidth="1"/>
    <col min="15370" max="15370" width="9.7109375" style="1" customWidth="1"/>
    <col min="15371" max="15371" width="11.7109375" style="1" customWidth="1"/>
    <col min="15372" max="15372" width="12" style="1" customWidth="1"/>
    <col min="15373" max="15373" width="10.42578125" style="1" customWidth="1"/>
    <col min="15374" max="15374" width="9.140625" style="1" customWidth="1"/>
    <col min="15375" max="15617" width="9.140625" style="1"/>
    <col min="15618" max="15618" width="5.28515625" style="1" customWidth="1"/>
    <col min="15619" max="15619" width="37.5703125" style="1" customWidth="1"/>
    <col min="15620" max="15620" width="12.28515625" style="1" customWidth="1"/>
    <col min="15621" max="15623" width="9.140625" style="1" customWidth="1"/>
    <col min="15624" max="15624" width="9" style="1" customWidth="1"/>
    <col min="15625" max="15625" width="9.5703125" style="1" customWidth="1"/>
    <col min="15626" max="15626" width="9.7109375" style="1" customWidth="1"/>
    <col min="15627" max="15627" width="11.7109375" style="1" customWidth="1"/>
    <col min="15628" max="15628" width="12" style="1" customWidth="1"/>
    <col min="15629" max="15629" width="10.42578125" style="1" customWidth="1"/>
    <col min="15630" max="15630" width="9.140625" style="1" customWidth="1"/>
    <col min="15631" max="15873" width="9.140625" style="1"/>
    <col min="15874" max="15874" width="5.28515625" style="1" customWidth="1"/>
    <col min="15875" max="15875" width="37.5703125" style="1" customWidth="1"/>
    <col min="15876" max="15876" width="12.28515625" style="1" customWidth="1"/>
    <col min="15877" max="15879" width="9.140625" style="1" customWidth="1"/>
    <col min="15880" max="15880" width="9" style="1" customWidth="1"/>
    <col min="15881" max="15881" width="9.5703125" style="1" customWidth="1"/>
    <col min="15882" max="15882" width="9.7109375" style="1" customWidth="1"/>
    <col min="15883" max="15883" width="11.7109375" style="1" customWidth="1"/>
    <col min="15884" max="15884" width="12" style="1" customWidth="1"/>
    <col min="15885" max="15885" width="10.42578125" style="1" customWidth="1"/>
    <col min="15886" max="15886" width="9.140625" style="1" customWidth="1"/>
    <col min="15887" max="16129" width="9.140625" style="1"/>
    <col min="16130" max="16130" width="5.28515625" style="1" customWidth="1"/>
    <col min="16131" max="16131" width="37.5703125" style="1" customWidth="1"/>
    <col min="16132" max="16132" width="12.28515625" style="1" customWidth="1"/>
    <col min="16133" max="16135" width="9.140625" style="1" customWidth="1"/>
    <col min="16136" max="16136" width="9" style="1" customWidth="1"/>
    <col min="16137" max="16137" width="9.5703125" style="1" customWidth="1"/>
    <col min="16138" max="16138" width="9.7109375" style="1" customWidth="1"/>
    <col min="16139" max="16139" width="11.7109375" style="1" customWidth="1"/>
    <col min="16140" max="16140" width="12" style="1" customWidth="1"/>
    <col min="16141" max="16141" width="10.42578125" style="1" customWidth="1"/>
    <col min="16142" max="16142" width="9.140625" style="1" customWidth="1"/>
    <col min="16143" max="16384" width="9.140625" style="1"/>
  </cols>
  <sheetData>
    <row r="1" spans="1:26" ht="15" customHeight="1" x14ac:dyDescent="0.2">
      <c r="J1" s="207"/>
      <c r="K1" s="207"/>
      <c r="L1" s="2"/>
      <c r="M1" s="2"/>
      <c r="N1" s="2"/>
      <c r="O1" s="2"/>
    </row>
    <row r="2" spans="1:26" ht="28.5" customHeight="1" x14ac:dyDescent="0.2">
      <c r="J2" s="208"/>
      <c r="K2" s="208"/>
      <c r="L2" s="208"/>
      <c r="M2" s="86"/>
      <c r="N2" s="86"/>
      <c r="O2" s="86"/>
    </row>
    <row r="3" spans="1:26" x14ac:dyDescent="0.2">
      <c r="J3" s="2"/>
      <c r="K3" s="2"/>
      <c r="L3" s="2"/>
      <c r="M3" s="2"/>
      <c r="N3" s="2"/>
      <c r="O3" s="2"/>
    </row>
    <row r="4" spans="1:26" x14ac:dyDescent="0.2">
      <c r="J4" s="2"/>
      <c r="K4" s="2"/>
      <c r="L4" s="2"/>
      <c r="M4" s="2"/>
      <c r="N4" s="2"/>
      <c r="O4" s="2"/>
    </row>
    <row r="6" spans="1:26" ht="16.5" x14ac:dyDescent="0.2">
      <c r="A6" s="209" t="s">
        <v>45</v>
      </c>
      <c r="B6" s="209"/>
      <c r="C6" s="209"/>
      <c r="D6" s="209"/>
      <c r="E6" s="209"/>
      <c r="F6" s="209"/>
      <c r="G6" s="209"/>
      <c r="H6" s="209"/>
      <c r="I6" s="209"/>
      <c r="J6" s="209"/>
      <c r="K6" s="209"/>
      <c r="L6" s="209"/>
      <c r="M6" s="87"/>
      <c r="N6" s="87"/>
      <c r="O6" s="87"/>
    </row>
    <row r="7" spans="1:26" ht="35.25" customHeight="1" x14ac:dyDescent="0.2">
      <c r="A7" s="210" t="s">
        <v>102</v>
      </c>
      <c r="B7" s="210"/>
      <c r="C7" s="210"/>
      <c r="D7" s="210"/>
      <c r="E7" s="210"/>
      <c r="F7" s="210"/>
      <c r="G7" s="210"/>
      <c r="H7" s="210"/>
      <c r="I7" s="210"/>
      <c r="J7" s="210"/>
      <c r="K7" s="210"/>
      <c r="L7" s="210"/>
      <c r="M7" s="88"/>
      <c r="N7" s="88"/>
      <c r="O7" s="88"/>
    </row>
    <row r="8" spans="1:26" ht="15.75" x14ac:dyDescent="0.2">
      <c r="A8" s="43"/>
      <c r="B8" s="43"/>
      <c r="C8" s="43"/>
      <c r="D8" s="43"/>
      <c r="E8" s="43"/>
      <c r="F8" s="43"/>
      <c r="G8" s="43"/>
      <c r="H8" s="43"/>
      <c r="I8" s="43"/>
      <c r="J8" s="43"/>
      <c r="K8" s="43"/>
      <c r="L8" s="43"/>
      <c r="M8" s="43"/>
      <c r="N8" s="43"/>
      <c r="O8" s="43"/>
    </row>
    <row r="9" spans="1:26" ht="16.5" thickBot="1" x14ac:dyDescent="0.25">
      <c r="A9" s="211" t="s">
        <v>46</v>
      </c>
      <c r="B9" s="211"/>
      <c r="C9" s="211"/>
      <c r="D9" s="211"/>
      <c r="E9" s="211"/>
      <c r="F9" s="211"/>
      <c r="G9" s="211"/>
      <c r="H9" s="211"/>
      <c r="I9" s="211"/>
      <c r="J9" s="211"/>
      <c r="K9" s="211"/>
      <c r="L9" s="211"/>
      <c r="M9" s="89"/>
      <c r="N9" s="89"/>
      <c r="O9" s="89"/>
    </row>
    <row r="10" spans="1:26" ht="52.5" customHeight="1" thickBot="1" x14ac:dyDescent="0.25">
      <c r="A10" s="3" t="s">
        <v>0</v>
      </c>
      <c r="B10" s="4" t="s">
        <v>1</v>
      </c>
      <c r="C10" s="5" t="s">
        <v>47</v>
      </c>
      <c r="D10" s="5" t="s">
        <v>48</v>
      </c>
      <c r="E10" s="5" t="s">
        <v>63</v>
      </c>
      <c r="F10" s="5" t="s">
        <v>62</v>
      </c>
      <c r="G10" s="5" t="s">
        <v>64</v>
      </c>
      <c r="H10" s="5" t="s">
        <v>51</v>
      </c>
      <c r="I10" s="5" t="s">
        <v>65</v>
      </c>
      <c r="J10" s="5" t="s">
        <v>66</v>
      </c>
      <c r="K10" s="5" t="s">
        <v>67</v>
      </c>
      <c r="L10" s="41" t="s">
        <v>55</v>
      </c>
      <c r="M10" s="41" t="s">
        <v>68</v>
      </c>
      <c r="N10" s="41" t="s">
        <v>69</v>
      </c>
      <c r="O10" s="104" t="s">
        <v>70</v>
      </c>
      <c r="P10" s="5" t="s">
        <v>2</v>
      </c>
      <c r="Q10" s="5" t="s">
        <v>3</v>
      </c>
      <c r="R10" s="5" t="s">
        <v>4</v>
      </c>
      <c r="S10" s="5" t="s">
        <v>5</v>
      </c>
      <c r="T10" s="5" t="s">
        <v>6</v>
      </c>
      <c r="U10" s="5" t="s">
        <v>7</v>
      </c>
      <c r="V10" s="5" t="s">
        <v>8</v>
      </c>
      <c r="W10" s="5" t="s">
        <v>9</v>
      </c>
      <c r="X10" s="5" t="s">
        <v>10</v>
      </c>
      <c r="Y10" s="6" t="s">
        <v>11</v>
      </c>
      <c r="Z10" s="7" t="s">
        <v>12</v>
      </c>
    </row>
    <row r="11" spans="1:26" ht="15" customHeight="1" thickBot="1" x14ac:dyDescent="0.25">
      <c r="A11" s="191" t="s">
        <v>71</v>
      </c>
      <c r="B11" s="192"/>
      <c r="C11" s="193"/>
      <c r="D11" s="193"/>
      <c r="E11" s="193"/>
      <c r="F11" s="193"/>
      <c r="G11" s="193"/>
      <c r="H11" s="193"/>
      <c r="I11" s="193"/>
      <c r="J11" s="193"/>
      <c r="K11" s="193"/>
      <c r="L11" s="193"/>
      <c r="M11" s="193"/>
      <c r="N11" s="193"/>
      <c r="O11" s="194"/>
      <c r="P11" s="180"/>
      <c r="Q11" s="180"/>
      <c r="R11" s="180"/>
      <c r="S11" s="180"/>
      <c r="T11" s="180"/>
      <c r="U11" s="180"/>
      <c r="V11" s="180"/>
      <c r="W11" s="180"/>
      <c r="X11" s="180"/>
      <c r="Y11" s="180"/>
      <c r="Z11" s="181"/>
    </row>
    <row r="12" spans="1:26" ht="38.25" x14ac:dyDescent="0.2">
      <c r="A12" s="106">
        <v>11191</v>
      </c>
      <c r="B12" s="25" t="s">
        <v>73</v>
      </c>
      <c r="C12" s="76">
        <f>ROUND(4632+1517+1140,0)*12</f>
        <v>87468</v>
      </c>
      <c r="D12" s="76">
        <f>ROUND(6330,0)*12</f>
        <v>75960</v>
      </c>
      <c r="E12" s="76">
        <f>ROUND(8060,0)*12</f>
        <v>96720</v>
      </c>
      <c r="F12" s="76">
        <f>ROUND(5592.25*12,0)</f>
        <v>67107</v>
      </c>
      <c r="G12" s="76">
        <f>ROUND(8457,0)*12</f>
        <v>101484</v>
      </c>
      <c r="H12" s="76">
        <f>ROUND(3078,0)*12</f>
        <v>36936</v>
      </c>
      <c r="I12" s="76">
        <f>ROUND(5169,0)*12</f>
        <v>62028</v>
      </c>
      <c r="J12" s="76">
        <f>ROUND(6270,0)*12</f>
        <v>75240</v>
      </c>
      <c r="K12" s="76">
        <f>ROUND(7612.5*12,0)</f>
        <v>91350</v>
      </c>
      <c r="L12" s="76">
        <f>ROUND(1846.8*12,0)</f>
        <v>22162</v>
      </c>
      <c r="M12" s="76">
        <f>ROUND(1140,0)*12</f>
        <v>13680</v>
      </c>
      <c r="N12" s="76">
        <f>ROUND(3536,0)*12</f>
        <v>42432</v>
      </c>
      <c r="O12" s="76">
        <f>ROUND(3206,0)*12</f>
        <v>38472</v>
      </c>
      <c r="P12" s="76">
        <f>ROUND(1136,0)*12</f>
        <v>13632</v>
      </c>
      <c r="Q12" s="76">
        <f>ROUND(1933,0)*12</f>
        <v>23196</v>
      </c>
      <c r="R12" s="76">
        <f>ROUND(950,0)*12</f>
        <v>11400</v>
      </c>
      <c r="S12" s="76">
        <f>ROUND(950,0)*12</f>
        <v>11400</v>
      </c>
      <c r="T12" s="76">
        <f>ROUND(950,0)*12</f>
        <v>11400</v>
      </c>
      <c r="U12" s="76">
        <f>ROUND(1710,0)*12</f>
        <v>20520</v>
      </c>
      <c r="V12" s="76">
        <f>ROUND(2123,0)*12</f>
        <v>25476</v>
      </c>
      <c r="W12" s="76">
        <f>ROUND(1933,0)*12</f>
        <v>23196</v>
      </c>
      <c r="X12" s="76">
        <f>ROUND(1838,0)*12</f>
        <v>22056</v>
      </c>
      <c r="Y12" s="76">
        <f>ROUND(1140,0)*12</f>
        <v>13680</v>
      </c>
      <c r="Z12" s="28">
        <f>ROUND(2453,0)*12</f>
        <v>29436</v>
      </c>
    </row>
    <row r="13" spans="1:26" ht="15" x14ac:dyDescent="0.2">
      <c r="A13" s="8">
        <v>1141</v>
      </c>
      <c r="B13" s="25" t="s">
        <v>79</v>
      </c>
      <c r="C13" s="77">
        <v>3324</v>
      </c>
      <c r="D13" s="77">
        <v>3324</v>
      </c>
      <c r="E13" s="77">
        <v>3324</v>
      </c>
      <c r="F13" s="77">
        <v>3324</v>
      </c>
      <c r="G13" s="77">
        <v>3324</v>
      </c>
      <c r="H13" s="77">
        <v>3324</v>
      </c>
      <c r="I13" s="77">
        <v>3324</v>
      </c>
      <c r="J13" s="77">
        <v>3324</v>
      </c>
      <c r="K13" s="77">
        <v>3324</v>
      </c>
      <c r="L13" s="77">
        <v>0</v>
      </c>
      <c r="M13" s="77">
        <v>0</v>
      </c>
      <c r="N13" s="77">
        <v>0</v>
      </c>
      <c r="O13" s="77">
        <v>3324</v>
      </c>
      <c r="P13" s="59">
        <v>0</v>
      </c>
      <c r="Q13" s="59">
        <v>0</v>
      </c>
      <c r="R13" s="59">
        <v>0</v>
      </c>
      <c r="S13" s="59">
        <v>0</v>
      </c>
      <c r="T13" s="59">
        <v>0</v>
      </c>
      <c r="U13" s="59">
        <v>0</v>
      </c>
      <c r="V13" s="59">
        <v>0</v>
      </c>
      <c r="W13" s="59">
        <v>0</v>
      </c>
      <c r="X13" s="59">
        <v>0</v>
      </c>
      <c r="Y13" s="59">
        <v>0</v>
      </c>
      <c r="Z13" s="57">
        <v>0</v>
      </c>
    </row>
    <row r="14" spans="1:26" ht="25.5" x14ac:dyDescent="0.2">
      <c r="A14" s="8">
        <v>1142</v>
      </c>
      <c r="B14" s="25" t="s">
        <v>74</v>
      </c>
      <c r="C14" s="77">
        <v>819</v>
      </c>
      <c r="D14" s="77">
        <v>819</v>
      </c>
      <c r="E14" s="77">
        <v>819</v>
      </c>
      <c r="F14" s="77">
        <v>819</v>
      </c>
      <c r="G14" s="77">
        <v>819</v>
      </c>
      <c r="H14" s="77">
        <v>819</v>
      </c>
      <c r="I14" s="77">
        <v>819</v>
      </c>
      <c r="J14" s="77">
        <v>819</v>
      </c>
      <c r="K14" s="77">
        <v>819</v>
      </c>
      <c r="L14" s="77">
        <v>0</v>
      </c>
      <c r="M14" s="77">
        <v>0</v>
      </c>
      <c r="N14" s="77">
        <v>0</v>
      </c>
      <c r="O14" s="77">
        <v>0</v>
      </c>
      <c r="P14" s="59">
        <v>0</v>
      </c>
      <c r="Q14" s="59">
        <v>0</v>
      </c>
      <c r="R14" s="59">
        <v>0</v>
      </c>
      <c r="S14" s="59">
        <v>0</v>
      </c>
      <c r="T14" s="59">
        <v>0</v>
      </c>
      <c r="U14" s="59">
        <v>0</v>
      </c>
      <c r="V14" s="59">
        <v>0</v>
      </c>
      <c r="W14" s="59">
        <v>0</v>
      </c>
      <c r="X14" s="59">
        <v>0</v>
      </c>
      <c r="Y14" s="59">
        <v>0</v>
      </c>
      <c r="Z14" s="57">
        <v>0</v>
      </c>
    </row>
    <row r="15" spans="1:26" ht="38.25" x14ac:dyDescent="0.2">
      <c r="A15" s="8">
        <v>1147</v>
      </c>
      <c r="B15" s="25" t="s">
        <v>80</v>
      </c>
      <c r="C15" s="78">
        <v>1368</v>
      </c>
      <c r="D15" s="78">
        <v>1284</v>
      </c>
      <c r="E15" s="78">
        <v>1716</v>
      </c>
      <c r="F15" s="78">
        <v>1032</v>
      </c>
      <c r="G15" s="78">
        <v>1368</v>
      </c>
      <c r="H15" s="78">
        <v>864</v>
      </c>
      <c r="I15" s="78">
        <v>1032</v>
      </c>
      <c r="J15" s="78">
        <v>1368</v>
      </c>
      <c r="K15" s="78">
        <v>1368</v>
      </c>
      <c r="L15" s="78">
        <v>684</v>
      </c>
      <c r="M15" s="77">
        <v>360</v>
      </c>
      <c r="N15" s="77">
        <v>1380</v>
      </c>
      <c r="O15" s="77">
        <v>864</v>
      </c>
      <c r="P15" s="77">
        <v>360</v>
      </c>
      <c r="Q15" s="77">
        <v>432</v>
      </c>
      <c r="R15" s="77">
        <v>360</v>
      </c>
      <c r="S15" s="77">
        <v>360</v>
      </c>
      <c r="T15" s="77">
        <v>360</v>
      </c>
      <c r="U15" s="77">
        <v>432</v>
      </c>
      <c r="V15" s="77">
        <v>516</v>
      </c>
      <c r="W15" s="77">
        <v>432</v>
      </c>
      <c r="X15" s="77">
        <v>432</v>
      </c>
      <c r="Y15" s="77">
        <v>360</v>
      </c>
      <c r="Z15" s="79">
        <v>840</v>
      </c>
    </row>
    <row r="16" spans="1:26" ht="44.25" customHeight="1" x14ac:dyDescent="0.2">
      <c r="A16" s="8">
        <v>1210</v>
      </c>
      <c r="B16" s="25" t="s">
        <v>75</v>
      </c>
      <c r="C16" s="77">
        <f>ROUND((C12+C13+C14+C15+C17)*0.2359,0)</f>
        <v>22794</v>
      </c>
      <c r="D16" s="77">
        <f>ROUND((D12+D13+D14+D15+D17)*0.2359,0)</f>
        <v>19946</v>
      </c>
      <c r="E16" s="77">
        <f t="shared" ref="E16:N16" si="0">ROUND((E12+E13+E14+E15+E17)*0.2359,0)</f>
        <v>25149</v>
      </c>
      <c r="F16" s="77">
        <f t="shared" si="0"/>
        <v>17711</v>
      </c>
      <c r="G16" s="77">
        <f t="shared" si="0"/>
        <v>26238</v>
      </c>
      <c r="H16" s="77">
        <f>ROUND((H12+H13+H14+H15+H17)*0.2359,0)</f>
        <v>10257</v>
      </c>
      <c r="I16" s="77">
        <f t="shared" si="0"/>
        <v>16463</v>
      </c>
      <c r="J16" s="77">
        <f t="shared" si="0"/>
        <v>19789</v>
      </c>
      <c r="K16" s="77">
        <f t="shared" si="0"/>
        <v>23747</v>
      </c>
      <c r="L16" s="77">
        <f t="shared" si="0"/>
        <v>5607</v>
      </c>
      <c r="M16" s="77">
        <f t="shared" si="0"/>
        <v>3446</v>
      </c>
      <c r="N16" s="77">
        <f t="shared" si="0"/>
        <v>10752</v>
      </c>
      <c r="O16" s="77">
        <f>ROUND((O12+O13+O14+O15+O17)*0.2359,0)+100</f>
        <v>10542</v>
      </c>
      <c r="P16" s="77">
        <f t="shared" ref="P16:Z16" si="1">ROUND((P12+P13+P14+P15+P17)*0.2359,0)</f>
        <v>3435</v>
      </c>
      <c r="Q16" s="77">
        <f t="shared" si="1"/>
        <v>5802</v>
      </c>
      <c r="R16" s="77">
        <f t="shared" si="1"/>
        <v>2886</v>
      </c>
      <c r="S16" s="77">
        <f t="shared" si="1"/>
        <v>2886</v>
      </c>
      <c r="T16" s="77">
        <f t="shared" si="1"/>
        <v>2886</v>
      </c>
      <c r="U16" s="77">
        <f t="shared" si="1"/>
        <v>5144</v>
      </c>
      <c r="V16" s="77">
        <f t="shared" si="1"/>
        <v>6382</v>
      </c>
      <c r="W16" s="77">
        <f t="shared" si="1"/>
        <v>5802</v>
      </c>
      <c r="X16" s="77">
        <f t="shared" si="1"/>
        <v>5522</v>
      </c>
      <c r="Y16" s="77">
        <f t="shared" si="1"/>
        <v>3446</v>
      </c>
      <c r="Z16" s="79">
        <f t="shared" si="1"/>
        <v>7432</v>
      </c>
    </row>
    <row r="17" spans="1:26" ht="27" customHeight="1" x14ac:dyDescent="0.2">
      <c r="A17" s="8">
        <v>1221</v>
      </c>
      <c r="B17" s="25" t="s">
        <v>13</v>
      </c>
      <c r="C17" s="80">
        <f>ROUND(C12/12*0.5,0)</f>
        <v>3645</v>
      </c>
      <c r="D17" s="80">
        <f>ROUND(D12/12*0.5,0)</f>
        <v>3165</v>
      </c>
      <c r="E17" s="80">
        <f>ROUND(E12/12*0.5,0)</f>
        <v>4030</v>
      </c>
      <c r="F17" s="80">
        <f t="shared" ref="F17:Z17" si="2">ROUND(F12/12*0.5,0)</f>
        <v>2796</v>
      </c>
      <c r="G17" s="80">
        <f t="shared" si="2"/>
        <v>4229</v>
      </c>
      <c r="H17" s="80">
        <f t="shared" si="2"/>
        <v>1539</v>
      </c>
      <c r="I17" s="80">
        <f t="shared" si="2"/>
        <v>2585</v>
      </c>
      <c r="J17" s="80">
        <f t="shared" si="2"/>
        <v>3135</v>
      </c>
      <c r="K17" s="80">
        <f t="shared" si="2"/>
        <v>3806</v>
      </c>
      <c r="L17" s="80">
        <f>ROUND(L12/12*0.5,0)</f>
        <v>923</v>
      </c>
      <c r="M17" s="80">
        <f t="shared" si="2"/>
        <v>570</v>
      </c>
      <c r="N17" s="80">
        <f t="shared" si="2"/>
        <v>1768</v>
      </c>
      <c r="O17" s="80">
        <f t="shared" si="2"/>
        <v>1603</v>
      </c>
      <c r="P17" s="80">
        <f t="shared" si="2"/>
        <v>568</v>
      </c>
      <c r="Q17" s="80">
        <f t="shared" si="2"/>
        <v>967</v>
      </c>
      <c r="R17" s="80">
        <f t="shared" si="2"/>
        <v>475</v>
      </c>
      <c r="S17" s="80">
        <f t="shared" si="2"/>
        <v>475</v>
      </c>
      <c r="T17" s="80">
        <f t="shared" si="2"/>
        <v>475</v>
      </c>
      <c r="U17" s="80">
        <f t="shared" si="2"/>
        <v>855</v>
      </c>
      <c r="V17" s="80">
        <f t="shared" si="2"/>
        <v>1062</v>
      </c>
      <c r="W17" s="80">
        <f t="shared" si="2"/>
        <v>967</v>
      </c>
      <c r="X17" s="80">
        <f t="shared" si="2"/>
        <v>919</v>
      </c>
      <c r="Y17" s="80">
        <f t="shared" si="2"/>
        <v>570</v>
      </c>
      <c r="Z17" s="81">
        <f t="shared" si="2"/>
        <v>1227</v>
      </c>
    </row>
    <row r="18" spans="1:26" ht="15" customHeight="1" x14ac:dyDescent="0.25">
      <c r="A18" s="8">
        <v>2221</v>
      </c>
      <c r="B18" s="9" t="s">
        <v>14</v>
      </c>
      <c r="C18" s="65">
        <v>48600</v>
      </c>
      <c r="D18" s="65">
        <v>20450</v>
      </c>
      <c r="E18" s="65">
        <v>49250</v>
      </c>
      <c r="F18" s="65">
        <v>24750</v>
      </c>
      <c r="G18" s="65">
        <v>87750</v>
      </c>
      <c r="H18" s="65">
        <v>21750</v>
      </c>
      <c r="I18" s="65">
        <v>20850</v>
      </c>
      <c r="J18" s="65">
        <v>24650</v>
      </c>
      <c r="K18" s="65">
        <v>37250</v>
      </c>
      <c r="L18" s="66">
        <v>10750</v>
      </c>
      <c r="M18" s="65">
        <v>9800</v>
      </c>
      <c r="N18" s="65">
        <v>26200</v>
      </c>
      <c r="O18" s="65">
        <v>15150</v>
      </c>
      <c r="P18" s="77">
        <v>9800</v>
      </c>
      <c r="Q18" s="77">
        <v>21300</v>
      </c>
      <c r="R18" s="77">
        <v>10750</v>
      </c>
      <c r="S18" s="77">
        <v>9950</v>
      </c>
      <c r="T18" s="77">
        <v>10800</v>
      </c>
      <c r="U18" s="77">
        <v>18700</v>
      </c>
      <c r="V18" s="77">
        <v>44850</v>
      </c>
      <c r="W18" s="77">
        <v>26200</v>
      </c>
      <c r="X18" s="77">
        <v>17700</v>
      </c>
      <c r="Y18" s="77">
        <v>8550</v>
      </c>
      <c r="Z18" s="79">
        <v>33150</v>
      </c>
    </row>
    <row r="19" spans="1:26" ht="15" customHeight="1" x14ac:dyDescent="0.25">
      <c r="A19" s="8">
        <v>2222</v>
      </c>
      <c r="B19" s="9" t="s">
        <v>15</v>
      </c>
      <c r="C19" s="82">
        <f>3000+1100</f>
        <v>4100</v>
      </c>
      <c r="D19" s="65">
        <v>100</v>
      </c>
      <c r="E19" s="82">
        <f>8520+2000</f>
        <v>10520</v>
      </c>
      <c r="F19" s="82">
        <f>2600+1300</f>
        <v>3900</v>
      </c>
      <c r="G19" s="82">
        <f>12780+800</f>
        <v>13580</v>
      </c>
      <c r="H19" s="82">
        <f>1850+400</f>
        <v>2250</v>
      </c>
      <c r="I19" s="82">
        <f>2800+400</f>
        <v>3200</v>
      </c>
      <c r="J19" s="82">
        <f>3450+1050</f>
        <v>4500</v>
      </c>
      <c r="K19" s="107">
        <f>4050+2000</f>
        <v>6050</v>
      </c>
      <c r="L19" s="108">
        <f>1070+80</f>
        <v>1150</v>
      </c>
      <c r="M19" s="65">
        <v>330</v>
      </c>
      <c r="N19" s="65">
        <v>2770</v>
      </c>
      <c r="O19" s="65">
        <v>1815</v>
      </c>
      <c r="P19" s="80">
        <f>2130+250</f>
        <v>2380</v>
      </c>
      <c r="Q19" s="80">
        <f>6180+880</f>
        <v>7060</v>
      </c>
      <c r="R19" s="80">
        <f>2985+350</f>
        <v>3335</v>
      </c>
      <c r="S19" s="80">
        <f>2130+300</f>
        <v>2430</v>
      </c>
      <c r="T19" s="80">
        <f>2450+250</f>
        <v>2700</v>
      </c>
      <c r="U19" s="80">
        <f>4700+550</f>
        <v>5250</v>
      </c>
      <c r="V19" s="80">
        <f>6100+600</f>
        <v>6700</v>
      </c>
      <c r="W19" s="80">
        <f>4580+600</f>
        <v>5180</v>
      </c>
      <c r="X19" s="80">
        <f>8520+750</f>
        <v>9270</v>
      </c>
      <c r="Y19" s="80">
        <f>2020+450</f>
        <v>2470</v>
      </c>
      <c r="Z19" s="81">
        <f>6600+700</f>
        <v>7300</v>
      </c>
    </row>
    <row r="20" spans="1:26" ht="15" customHeight="1" x14ac:dyDescent="0.25">
      <c r="A20" s="8">
        <v>2223</v>
      </c>
      <c r="B20" s="9" t="s">
        <v>16</v>
      </c>
      <c r="C20" s="82">
        <f>20450+5607</f>
        <v>26057</v>
      </c>
      <c r="D20" s="65">
        <v>1850</v>
      </c>
      <c r="E20" s="109">
        <f>34156+6049</f>
        <v>40205</v>
      </c>
      <c r="F20" s="109">
        <f>11836+2792</f>
        <v>14628</v>
      </c>
      <c r="G20" s="82">
        <f>38919+2992</f>
        <v>41911</v>
      </c>
      <c r="H20" s="109">
        <f>11907+1818</f>
        <v>13725</v>
      </c>
      <c r="I20" s="109">
        <f>15659+3164</f>
        <v>18823</v>
      </c>
      <c r="J20" s="109">
        <f>16913+4628</f>
        <v>21541</v>
      </c>
      <c r="K20" s="108">
        <f>23324+6767</f>
        <v>30091</v>
      </c>
      <c r="L20" s="108">
        <f>6840+866</f>
        <v>7706</v>
      </c>
      <c r="M20" s="82">
        <v>3200</v>
      </c>
      <c r="N20" s="83">
        <v>18000</v>
      </c>
      <c r="O20" s="84">
        <v>24800</v>
      </c>
      <c r="P20" s="73">
        <f>3900+1480</f>
        <v>5380</v>
      </c>
      <c r="Q20" s="73">
        <f>5650+3337</f>
        <v>8987</v>
      </c>
      <c r="R20" s="73">
        <f>5350+712</f>
        <v>6062</v>
      </c>
      <c r="S20" s="73">
        <f>3450+1547</f>
        <v>4997</v>
      </c>
      <c r="T20" s="73">
        <f>3450+1585</f>
        <v>5035</v>
      </c>
      <c r="U20" s="73">
        <f>5500+1998</f>
        <v>7498</v>
      </c>
      <c r="V20" s="73">
        <f>16400+2981</f>
        <v>19381</v>
      </c>
      <c r="W20" s="73">
        <f>7000+2152</f>
        <v>9152</v>
      </c>
      <c r="X20" s="73">
        <f>13100+2276</f>
        <v>15376</v>
      </c>
      <c r="Y20" s="73">
        <f>6245+1881</f>
        <v>8126</v>
      </c>
      <c r="Z20" s="110">
        <f>25250+2139</f>
        <v>27389</v>
      </c>
    </row>
    <row r="21" spans="1:26" ht="15" customHeight="1" x14ac:dyDescent="0.25">
      <c r="A21" s="8">
        <v>2224</v>
      </c>
      <c r="B21" s="9" t="s">
        <v>17</v>
      </c>
      <c r="C21" s="65">
        <v>4350</v>
      </c>
      <c r="D21" s="10">
        <v>0</v>
      </c>
      <c r="E21" s="65">
        <v>6350</v>
      </c>
      <c r="F21" s="65">
        <v>2900</v>
      </c>
      <c r="G21" s="65">
        <v>3700</v>
      </c>
      <c r="H21" s="65">
        <v>2900</v>
      </c>
      <c r="I21" s="65">
        <v>4350</v>
      </c>
      <c r="J21" s="65">
        <v>2900</v>
      </c>
      <c r="K21" s="65">
        <v>4350</v>
      </c>
      <c r="L21" s="66">
        <v>750</v>
      </c>
      <c r="M21" s="65">
        <v>740</v>
      </c>
      <c r="N21" s="65">
        <v>2850</v>
      </c>
      <c r="O21" s="65">
        <v>1750</v>
      </c>
      <c r="P21" s="56">
        <v>1100</v>
      </c>
      <c r="Q21" s="56">
        <v>950</v>
      </c>
      <c r="R21" s="56">
        <v>700</v>
      </c>
      <c r="S21" s="56">
        <v>1150</v>
      </c>
      <c r="T21" s="56">
        <v>750</v>
      </c>
      <c r="U21" s="56">
        <v>2900</v>
      </c>
      <c r="V21" s="56">
        <v>1650</v>
      </c>
      <c r="W21" s="56">
        <v>1500</v>
      </c>
      <c r="X21" s="56">
        <v>950</v>
      </c>
      <c r="Y21" s="56">
        <v>250</v>
      </c>
      <c r="Z21" s="63">
        <v>550</v>
      </c>
    </row>
    <row r="22" spans="1:26" ht="15" customHeight="1" x14ac:dyDescent="0.2">
      <c r="A22" s="8">
        <v>2229</v>
      </c>
      <c r="B22" s="9" t="s">
        <v>18</v>
      </c>
      <c r="C22" s="10">
        <v>0</v>
      </c>
      <c r="D22" s="10">
        <v>0</v>
      </c>
      <c r="E22" s="10">
        <v>0</v>
      </c>
      <c r="F22" s="10">
        <v>0</v>
      </c>
      <c r="G22" s="10">
        <v>0</v>
      </c>
      <c r="H22" s="10">
        <v>0</v>
      </c>
      <c r="I22" s="10">
        <v>0</v>
      </c>
      <c r="J22" s="10">
        <v>0</v>
      </c>
      <c r="K22" s="67">
        <v>0</v>
      </c>
      <c r="L22" s="68">
        <v>0</v>
      </c>
      <c r="M22" s="10">
        <v>0</v>
      </c>
      <c r="N22" s="10">
        <v>0</v>
      </c>
      <c r="O22" s="10">
        <v>0</v>
      </c>
      <c r="P22" s="10">
        <v>0</v>
      </c>
      <c r="Q22" s="10">
        <v>0</v>
      </c>
      <c r="R22" s="10">
        <v>0</v>
      </c>
      <c r="S22" s="10">
        <v>0</v>
      </c>
      <c r="T22" s="10">
        <v>0</v>
      </c>
      <c r="U22" s="10">
        <v>0</v>
      </c>
      <c r="V22" s="10">
        <v>0</v>
      </c>
      <c r="W22" s="10">
        <v>0</v>
      </c>
      <c r="X22" s="10">
        <v>0</v>
      </c>
      <c r="Y22" s="10">
        <v>0</v>
      </c>
      <c r="Z22" s="57">
        <v>0</v>
      </c>
    </row>
    <row r="23" spans="1:26" ht="15" x14ac:dyDescent="0.25">
      <c r="A23" s="8">
        <v>2241</v>
      </c>
      <c r="B23" s="9" t="s">
        <v>19</v>
      </c>
      <c r="C23" s="65">
        <f>(25000+4000)*2.5%</f>
        <v>725</v>
      </c>
      <c r="D23" s="10">
        <v>0</v>
      </c>
      <c r="E23" s="65">
        <f>45000*0.025</f>
        <v>1125</v>
      </c>
      <c r="F23" s="65">
        <f>50000*0.025</f>
        <v>1250</v>
      </c>
      <c r="G23" s="65">
        <f>(25000+13400)*0.025</f>
        <v>960</v>
      </c>
      <c r="H23" s="65">
        <f>20000*0.025</f>
        <v>500</v>
      </c>
      <c r="I23" s="10">
        <v>0</v>
      </c>
      <c r="J23" s="65">
        <f>30000*0.025</f>
        <v>750</v>
      </c>
      <c r="K23" s="69">
        <f>40000*0.025</f>
        <v>1000</v>
      </c>
      <c r="L23" s="70">
        <f>28000*0.025</f>
        <v>700</v>
      </c>
      <c r="M23" s="65">
        <f>15000*0.025</f>
        <v>375</v>
      </c>
      <c r="N23" s="65">
        <v>0</v>
      </c>
      <c r="O23" s="65">
        <f>(44812+2900)*0.025</f>
        <v>1192.8</v>
      </c>
      <c r="P23" s="56">
        <f>30000*0.025</f>
        <v>750</v>
      </c>
      <c r="Q23" s="56">
        <f>25000*0.025</f>
        <v>625</v>
      </c>
      <c r="R23" s="56">
        <f>20000*0.025</f>
        <v>500</v>
      </c>
      <c r="S23" s="56">
        <f>15000*0.025</f>
        <v>375</v>
      </c>
      <c r="T23" s="56">
        <f>32000*0.025</f>
        <v>800</v>
      </c>
      <c r="U23" s="56">
        <f>33000*0.025</f>
        <v>825</v>
      </c>
      <c r="V23" s="56">
        <f>20000*0.025</f>
        <v>500</v>
      </c>
      <c r="W23" s="10">
        <f>20000*0.025</f>
        <v>500</v>
      </c>
      <c r="X23" s="10">
        <v>0</v>
      </c>
      <c r="Y23" s="10">
        <v>0</v>
      </c>
      <c r="Z23" s="63">
        <f>1500*0.025</f>
        <v>37.5</v>
      </c>
    </row>
    <row r="24" spans="1:26" ht="25.5" x14ac:dyDescent="0.25">
      <c r="A24" s="8">
        <v>2243</v>
      </c>
      <c r="B24" s="9" t="s">
        <v>20</v>
      </c>
      <c r="C24" s="65">
        <v>3000</v>
      </c>
      <c r="D24" s="65">
        <v>2500</v>
      </c>
      <c r="E24" s="65">
        <v>6500</v>
      </c>
      <c r="F24" s="65">
        <v>3500</v>
      </c>
      <c r="G24" s="65">
        <f>1200+1500</f>
        <v>2700</v>
      </c>
      <c r="H24" s="65">
        <v>1200</v>
      </c>
      <c r="I24" s="65">
        <v>1200</v>
      </c>
      <c r="J24" s="65">
        <v>3000</v>
      </c>
      <c r="K24" s="65">
        <v>2500</v>
      </c>
      <c r="L24" s="66">
        <v>1500</v>
      </c>
      <c r="M24" s="65">
        <v>500</v>
      </c>
      <c r="N24" s="65">
        <v>2500</v>
      </c>
      <c r="O24" s="65">
        <f>2100+650</f>
        <v>2750</v>
      </c>
      <c r="P24" s="56">
        <v>1800</v>
      </c>
      <c r="Q24" s="56">
        <v>1200</v>
      </c>
      <c r="R24" s="56">
        <v>2800</v>
      </c>
      <c r="S24" s="56">
        <v>450</v>
      </c>
      <c r="T24" s="56">
        <v>125</v>
      </c>
      <c r="U24" s="56">
        <v>1000</v>
      </c>
      <c r="V24" s="56">
        <v>5300</v>
      </c>
      <c r="W24" s="56">
        <v>1100</v>
      </c>
      <c r="X24" s="54">
        <v>5000</v>
      </c>
      <c r="Y24" s="10">
        <v>1605</v>
      </c>
      <c r="Z24" s="63">
        <v>5500</v>
      </c>
    </row>
    <row r="25" spans="1:26" ht="15" x14ac:dyDescent="0.25">
      <c r="A25" s="111">
        <v>2244</v>
      </c>
      <c r="B25" s="11" t="s">
        <v>21</v>
      </c>
      <c r="C25" s="10">
        <f>950+310+440</f>
        <v>1700</v>
      </c>
      <c r="D25" s="65">
        <v>1000</v>
      </c>
      <c r="E25" s="10">
        <f>2300+2255+1800</f>
        <v>6355</v>
      </c>
      <c r="F25" s="10">
        <f>1000+455+670+1080</f>
        <v>3205</v>
      </c>
      <c r="G25" s="10">
        <f>1860+290+310+300</f>
        <v>2760</v>
      </c>
      <c r="H25" s="10">
        <f>1800+270+310+500</f>
        <v>2880</v>
      </c>
      <c r="I25" s="10">
        <f>400+540+500+460</f>
        <v>1900</v>
      </c>
      <c r="J25" s="10">
        <f>1500+620+1030</f>
        <v>3150</v>
      </c>
      <c r="K25" s="10">
        <f>1440+475+1040+345</f>
        <v>3300</v>
      </c>
      <c r="L25" s="54">
        <f>900+375+310+265</f>
        <v>1850</v>
      </c>
      <c r="M25" s="10">
        <v>880</v>
      </c>
      <c r="N25" s="10">
        <f>4270+1700+280+550</f>
        <v>6800</v>
      </c>
      <c r="O25" s="65">
        <f>1055+1219+1001+700</f>
        <v>3975</v>
      </c>
      <c r="P25" s="10">
        <f>310+385+475+130</f>
        <v>1300</v>
      </c>
      <c r="Q25" s="56">
        <v>415</v>
      </c>
      <c r="R25" s="10">
        <f>310+375+165</f>
        <v>850</v>
      </c>
      <c r="S25" s="56">
        <f>210+750+475+265</f>
        <v>1700</v>
      </c>
      <c r="T25" s="10">
        <f>310+720+375+295</f>
        <v>1700</v>
      </c>
      <c r="U25" s="56">
        <f>415+345+375+365</f>
        <v>1500</v>
      </c>
      <c r="V25" s="10">
        <f>415+3500+375+710</f>
        <v>5000</v>
      </c>
      <c r="W25" s="10">
        <f>415+360+375+1050</f>
        <v>2200</v>
      </c>
      <c r="X25" s="10">
        <f>310+1750+680+60</f>
        <v>2800</v>
      </c>
      <c r="Y25" s="10">
        <f>300+660+640+200</f>
        <v>1800</v>
      </c>
      <c r="Z25" s="55">
        <f>533+1230+580+157</f>
        <v>2500</v>
      </c>
    </row>
    <row r="26" spans="1:26" ht="15" x14ac:dyDescent="0.25">
      <c r="A26" s="111">
        <v>2247</v>
      </c>
      <c r="B26" s="12" t="s">
        <v>22</v>
      </c>
      <c r="C26" s="65">
        <v>530</v>
      </c>
      <c r="D26" s="10">
        <v>0</v>
      </c>
      <c r="E26" s="10">
        <v>0</v>
      </c>
      <c r="F26" s="65">
        <v>315</v>
      </c>
      <c r="G26" s="65">
        <v>680</v>
      </c>
      <c r="H26" s="10">
        <v>125</v>
      </c>
      <c r="I26" s="65">
        <v>315</v>
      </c>
      <c r="J26" s="65">
        <v>325</v>
      </c>
      <c r="K26" s="69">
        <v>535</v>
      </c>
      <c r="L26" s="54">
        <v>100</v>
      </c>
      <c r="M26" s="10">
        <v>100</v>
      </c>
      <c r="N26" s="10">
        <v>225</v>
      </c>
      <c r="O26" s="10">
        <v>450</v>
      </c>
      <c r="P26" s="10">
        <v>65</v>
      </c>
      <c r="Q26" s="56">
        <v>120</v>
      </c>
      <c r="R26" s="56">
        <v>75</v>
      </c>
      <c r="S26" s="10">
        <v>40</v>
      </c>
      <c r="T26" s="56">
        <v>80</v>
      </c>
      <c r="U26" s="56">
        <v>210</v>
      </c>
      <c r="V26" s="56">
        <v>230</v>
      </c>
      <c r="W26" s="10">
        <v>160</v>
      </c>
      <c r="X26" s="10">
        <v>285</v>
      </c>
      <c r="Y26" s="10">
        <v>130</v>
      </c>
      <c r="Z26" s="55">
        <v>681</v>
      </c>
    </row>
    <row r="27" spans="1:26" ht="29.25" customHeight="1" x14ac:dyDescent="0.25">
      <c r="A27" s="111">
        <v>2249</v>
      </c>
      <c r="B27" s="12" t="s">
        <v>23</v>
      </c>
      <c r="C27" s="65">
        <v>19670</v>
      </c>
      <c r="D27" s="65">
        <v>3500</v>
      </c>
      <c r="E27" s="10">
        <f>20350+927</f>
        <v>21277</v>
      </c>
      <c r="F27" s="65">
        <f>25000+849</f>
        <v>25849</v>
      </c>
      <c r="G27" s="65">
        <f>15700+3500</f>
        <v>19200</v>
      </c>
      <c r="H27" s="10">
        <v>4850</v>
      </c>
      <c r="I27" s="65">
        <v>5300</v>
      </c>
      <c r="J27" s="65">
        <v>7322</v>
      </c>
      <c r="K27" s="65">
        <v>20372</v>
      </c>
      <c r="L27" s="70">
        <v>4174</v>
      </c>
      <c r="M27" s="65">
        <f>2470+800</f>
        <v>3270</v>
      </c>
      <c r="N27" s="65">
        <v>10500</v>
      </c>
      <c r="O27" s="65">
        <f>15400+7700</f>
        <v>23100</v>
      </c>
      <c r="P27" s="10">
        <f>2400+9864</f>
        <v>12264</v>
      </c>
      <c r="Q27" s="10">
        <f>3500+16550+800</f>
        <v>20850</v>
      </c>
      <c r="R27" s="10">
        <f>2500+6468</f>
        <v>8968</v>
      </c>
      <c r="S27" s="10">
        <f>2100+15950</f>
        <v>18050</v>
      </c>
      <c r="T27" s="10">
        <f>1200+11450</f>
        <v>12650</v>
      </c>
      <c r="U27" s="10">
        <f>1600+12082+1048</f>
        <v>14730</v>
      </c>
      <c r="V27" s="10">
        <f>3050+33050</f>
        <v>36100</v>
      </c>
      <c r="W27" s="10">
        <f>3130+3500</f>
        <v>6630</v>
      </c>
      <c r="X27" s="10">
        <f>2300+30850+805</f>
        <v>33955</v>
      </c>
      <c r="Y27" s="10">
        <v>11600</v>
      </c>
      <c r="Z27" s="55">
        <f>2800+4500</f>
        <v>7300</v>
      </c>
    </row>
    <row r="28" spans="1:26" ht="15" customHeight="1" x14ac:dyDescent="0.25">
      <c r="A28" s="111">
        <v>2263</v>
      </c>
      <c r="B28" s="12" t="s">
        <v>24</v>
      </c>
      <c r="C28" s="10">
        <v>0</v>
      </c>
      <c r="D28" s="10">
        <v>0</v>
      </c>
      <c r="E28" s="10">
        <v>0</v>
      </c>
      <c r="F28" s="65">
        <v>10300</v>
      </c>
      <c r="G28" s="65">
        <v>5706</v>
      </c>
      <c r="H28" s="10">
        <v>0</v>
      </c>
      <c r="I28" s="10">
        <v>0</v>
      </c>
      <c r="J28" s="65">
        <v>933</v>
      </c>
      <c r="K28" s="71">
        <v>2664</v>
      </c>
      <c r="L28" s="68">
        <v>0</v>
      </c>
      <c r="M28" s="65">
        <v>1252</v>
      </c>
      <c r="N28" s="10">
        <v>1167</v>
      </c>
      <c r="O28" s="65">
        <v>345</v>
      </c>
      <c r="P28" s="10">
        <v>0</v>
      </c>
      <c r="Q28" s="56">
        <v>4385</v>
      </c>
      <c r="R28" s="10">
        <v>0</v>
      </c>
      <c r="S28" s="56">
        <v>695</v>
      </c>
      <c r="T28" s="56">
        <v>3014</v>
      </c>
      <c r="U28" s="10">
        <v>0</v>
      </c>
      <c r="V28" s="10">
        <v>0</v>
      </c>
      <c r="W28" s="10">
        <v>266</v>
      </c>
      <c r="X28" s="10">
        <v>0</v>
      </c>
      <c r="Y28" s="10">
        <v>0</v>
      </c>
      <c r="Z28" s="55">
        <v>0</v>
      </c>
    </row>
    <row r="29" spans="1:26" ht="15" customHeight="1" x14ac:dyDescent="0.25">
      <c r="A29" s="111">
        <v>2312</v>
      </c>
      <c r="B29" s="12" t="s">
        <v>25</v>
      </c>
      <c r="C29" s="65">
        <v>16000</v>
      </c>
      <c r="D29" s="10">
        <v>0</v>
      </c>
      <c r="E29" s="65">
        <v>35400</v>
      </c>
      <c r="F29" s="65">
        <f>10000+1000</f>
        <v>11000</v>
      </c>
      <c r="G29" s="65">
        <v>5600</v>
      </c>
      <c r="H29" s="65">
        <v>9820</v>
      </c>
      <c r="I29" s="65">
        <v>6500</v>
      </c>
      <c r="J29" s="65">
        <v>9000</v>
      </c>
      <c r="K29" s="71">
        <v>15000</v>
      </c>
      <c r="L29" s="72">
        <v>3000</v>
      </c>
      <c r="M29" s="65">
        <f>460+300</f>
        <v>760</v>
      </c>
      <c r="N29" s="65">
        <f>8000+1500</f>
        <v>9500</v>
      </c>
      <c r="O29" s="65">
        <f>9000+2800</f>
        <v>11800</v>
      </c>
      <c r="P29" s="10">
        <v>3200</v>
      </c>
      <c r="Q29" s="56">
        <f>5000+3500+1000</f>
        <v>9500</v>
      </c>
      <c r="R29" s="10">
        <f>8500+1500</f>
        <v>10000</v>
      </c>
      <c r="S29" s="10">
        <f>3000+900</f>
        <v>3900</v>
      </c>
      <c r="T29" s="73">
        <v>9500</v>
      </c>
      <c r="U29" s="10">
        <f>4000+1000+1000</f>
        <v>6000</v>
      </c>
      <c r="V29" s="10">
        <f>6400+2717</f>
        <v>9117</v>
      </c>
      <c r="W29" s="10">
        <f>2500+1500</f>
        <v>4000</v>
      </c>
      <c r="X29" s="54">
        <f>5000+1000</f>
        <v>6000</v>
      </c>
      <c r="Y29" s="10">
        <f>2000+2000</f>
        <v>4000</v>
      </c>
      <c r="Z29" s="57">
        <v>3500</v>
      </c>
    </row>
    <row r="30" spans="1:26" ht="15" customHeight="1" x14ac:dyDescent="0.25">
      <c r="A30" s="111">
        <v>2350</v>
      </c>
      <c r="B30" s="12" t="s">
        <v>26</v>
      </c>
      <c r="C30" s="65">
        <f>17200+1931</f>
        <v>19131</v>
      </c>
      <c r="D30" s="65">
        <v>12000</v>
      </c>
      <c r="E30" s="65">
        <f>29500+2752</f>
        <v>32252</v>
      </c>
      <c r="F30" s="74">
        <v>10100</v>
      </c>
      <c r="G30" s="65">
        <f>20000+9000</f>
        <v>29000</v>
      </c>
      <c r="H30" s="65">
        <v>8000</v>
      </c>
      <c r="I30" s="65">
        <f>9000+2500</f>
        <v>11500</v>
      </c>
      <c r="J30" s="65">
        <f>11600+786</f>
        <v>12386</v>
      </c>
      <c r="K30" s="71">
        <v>15000</v>
      </c>
      <c r="L30" s="72">
        <v>3000</v>
      </c>
      <c r="M30" s="65">
        <f>2000+2400</f>
        <v>4400</v>
      </c>
      <c r="N30" s="65">
        <v>10565</v>
      </c>
      <c r="O30" s="65">
        <f>9700+4900</f>
        <v>14600</v>
      </c>
      <c r="P30" s="10">
        <v>5000</v>
      </c>
      <c r="Q30" s="56">
        <f>13250+1000</f>
        <v>14250</v>
      </c>
      <c r="R30" s="56">
        <f>6400+1500+1012</f>
        <v>8912</v>
      </c>
      <c r="S30" s="56">
        <v>4000</v>
      </c>
      <c r="T30" s="56">
        <f>6300+500</f>
        <v>6800</v>
      </c>
      <c r="U30" s="56">
        <v>10000</v>
      </c>
      <c r="V30" s="56">
        <f>15000+5000</f>
        <v>20000</v>
      </c>
      <c r="W30" s="10">
        <f>7000+2857</f>
        <v>9857</v>
      </c>
      <c r="X30" s="54">
        <v>17000</v>
      </c>
      <c r="Y30" s="56">
        <f>5610+1531</f>
        <v>7141</v>
      </c>
      <c r="Z30" s="63">
        <f>13400+10000</f>
        <v>23400</v>
      </c>
    </row>
    <row r="31" spans="1:26" ht="26.25" customHeight="1" x14ac:dyDescent="0.2">
      <c r="A31" s="111">
        <v>2513</v>
      </c>
      <c r="B31" s="12" t="s">
        <v>27</v>
      </c>
      <c r="C31" s="10">
        <v>0</v>
      </c>
      <c r="D31" s="10">
        <v>0</v>
      </c>
      <c r="E31" s="10">
        <v>0</v>
      </c>
      <c r="F31" s="10">
        <v>0</v>
      </c>
      <c r="G31" s="10">
        <v>0</v>
      </c>
      <c r="H31" s="10">
        <v>0</v>
      </c>
      <c r="I31" s="10">
        <v>0</v>
      </c>
      <c r="J31" s="10">
        <v>0</v>
      </c>
      <c r="K31" s="67">
        <v>0</v>
      </c>
      <c r="L31" s="68">
        <v>0</v>
      </c>
      <c r="M31" s="10">
        <v>0</v>
      </c>
      <c r="N31" s="10">
        <v>0</v>
      </c>
      <c r="O31" s="10">
        <v>0</v>
      </c>
      <c r="P31" s="10">
        <v>0</v>
      </c>
      <c r="Q31" s="10">
        <v>0</v>
      </c>
      <c r="R31" s="10">
        <v>0</v>
      </c>
      <c r="S31" s="10">
        <v>0</v>
      </c>
      <c r="T31" s="10">
        <v>0</v>
      </c>
      <c r="U31" s="10">
        <v>0</v>
      </c>
      <c r="V31" s="10">
        <v>0</v>
      </c>
      <c r="W31" s="10">
        <v>0</v>
      </c>
      <c r="X31" s="10">
        <v>0</v>
      </c>
      <c r="Y31" s="10">
        <v>0</v>
      </c>
      <c r="Z31" s="55">
        <v>0</v>
      </c>
    </row>
    <row r="32" spans="1:26" ht="15" customHeight="1" x14ac:dyDescent="0.25">
      <c r="A32" s="8">
        <v>5250</v>
      </c>
      <c r="B32" s="9" t="s">
        <v>28</v>
      </c>
      <c r="C32" s="17">
        <v>0</v>
      </c>
      <c r="D32" s="10">
        <v>0</v>
      </c>
      <c r="E32" s="17">
        <v>0</v>
      </c>
      <c r="F32" s="17">
        <v>0</v>
      </c>
      <c r="G32" s="10">
        <v>0</v>
      </c>
      <c r="H32" s="10">
        <v>0</v>
      </c>
      <c r="I32" s="65">
        <f>80000*0.025</f>
        <v>2000</v>
      </c>
      <c r="J32" s="10">
        <v>0</v>
      </c>
      <c r="K32" s="67">
        <v>0</v>
      </c>
      <c r="L32" s="68">
        <v>0</v>
      </c>
      <c r="M32" s="10">
        <v>0</v>
      </c>
      <c r="N32" s="10">
        <v>0</v>
      </c>
      <c r="O32" s="10">
        <v>0</v>
      </c>
      <c r="P32" s="10">
        <v>0</v>
      </c>
      <c r="Q32" s="10">
        <v>0</v>
      </c>
      <c r="R32" s="10">
        <v>0</v>
      </c>
      <c r="S32" s="10">
        <v>0</v>
      </c>
      <c r="T32" s="10">
        <v>0</v>
      </c>
      <c r="U32" s="10">
        <v>0</v>
      </c>
      <c r="V32" s="10">
        <v>0</v>
      </c>
      <c r="W32" s="10">
        <v>0</v>
      </c>
      <c r="X32" s="10">
        <v>0</v>
      </c>
      <c r="Y32" s="10">
        <v>0</v>
      </c>
      <c r="Z32" s="57">
        <v>0</v>
      </c>
    </row>
    <row r="33" spans="1:26" ht="15.75" thickBot="1" x14ac:dyDescent="0.25">
      <c r="A33" s="13" t="s">
        <v>29</v>
      </c>
      <c r="B33" s="14" t="s">
        <v>56</v>
      </c>
      <c r="C33" s="52">
        <f>74.56+46.39+266.73</f>
        <v>387.68</v>
      </c>
      <c r="D33" s="52">
        <v>433.87</v>
      </c>
      <c r="E33" s="52">
        <v>0</v>
      </c>
      <c r="F33" s="52">
        <v>31.17</v>
      </c>
      <c r="G33" s="52">
        <f>220.54+106.72+38.93</f>
        <v>366.19</v>
      </c>
      <c r="H33" s="52">
        <v>0</v>
      </c>
      <c r="I33" s="52">
        <v>25.47</v>
      </c>
      <c r="J33" s="52">
        <f>170.75+426.86+100.32+100.32</f>
        <v>798.25</v>
      </c>
      <c r="K33" s="52">
        <f>74.56+200+453.67+326.06+62.5+474.46+225</f>
        <v>1816.25</v>
      </c>
      <c r="L33" s="52">
        <v>0</v>
      </c>
      <c r="M33" s="52">
        <v>29.46</v>
      </c>
      <c r="N33" s="52">
        <v>38.71</v>
      </c>
      <c r="O33" s="52">
        <f>49.66+24.45</f>
        <v>74.11</v>
      </c>
      <c r="P33" s="15">
        <v>40</v>
      </c>
      <c r="Q33" s="15">
        <f>33.73+183.84+24.59+35.72+59.9+38.27</f>
        <v>376.04999999999995</v>
      </c>
      <c r="R33" s="15">
        <v>33.5</v>
      </c>
      <c r="S33" s="15">
        <v>29.61</v>
      </c>
      <c r="T33" s="15">
        <f>36.91+36.86+27.02+39.13+53.79</f>
        <v>193.70999999999998</v>
      </c>
      <c r="U33" s="15">
        <f>29.46*2</f>
        <v>58.92</v>
      </c>
      <c r="V33" s="15">
        <f>26.65+64.03+44.5+52.2+47.6</f>
        <v>234.98</v>
      </c>
      <c r="W33" s="15">
        <f>22.4+62.47+25.59+30.87+60</f>
        <v>201.33</v>
      </c>
      <c r="X33" s="60">
        <f>32.66+156.38+39.8+31.5+26.9</f>
        <v>287.23999999999995</v>
      </c>
      <c r="Y33" s="52">
        <f>99.91+31.9</f>
        <v>131.81</v>
      </c>
      <c r="Z33" s="75">
        <f>95.62+29.9</f>
        <v>125.52000000000001</v>
      </c>
    </row>
    <row r="34" spans="1:26" s="16" customFormat="1" ht="16.5" customHeight="1" thickBot="1" x14ac:dyDescent="0.25">
      <c r="A34" s="178" t="s">
        <v>30</v>
      </c>
      <c r="B34" s="179"/>
      <c r="C34" s="15">
        <f>SUM(C12:C33)</f>
        <v>263668.68</v>
      </c>
      <c r="D34" s="15">
        <f t="shared" ref="D34:Y34" si="3">SUM(D12:D33)</f>
        <v>146331.87</v>
      </c>
      <c r="E34" s="15">
        <f t="shared" si="3"/>
        <v>340992</v>
      </c>
      <c r="F34" s="15">
        <f t="shared" si="3"/>
        <v>204517.17</v>
      </c>
      <c r="G34" s="15">
        <f t="shared" si="3"/>
        <v>351375.19</v>
      </c>
      <c r="H34" s="15">
        <f t="shared" si="3"/>
        <v>121739</v>
      </c>
      <c r="I34" s="15">
        <f t="shared" si="3"/>
        <v>162214.47</v>
      </c>
      <c r="J34" s="15">
        <f t="shared" si="3"/>
        <v>194930.25</v>
      </c>
      <c r="K34" s="15">
        <f t="shared" si="3"/>
        <v>264342.25</v>
      </c>
      <c r="L34" s="15">
        <f t="shared" si="3"/>
        <v>64056</v>
      </c>
      <c r="M34" s="15">
        <f t="shared" si="3"/>
        <v>43692.46</v>
      </c>
      <c r="N34" s="15">
        <f t="shared" si="3"/>
        <v>147447.71</v>
      </c>
      <c r="O34" s="15">
        <f t="shared" si="3"/>
        <v>156606.90999999997</v>
      </c>
      <c r="P34" s="15">
        <f t="shared" si="3"/>
        <v>61074</v>
      </c>
      <c r="Q34" s="15">
        <f t="shared" si="3"/>
        <v>120415.05</v>
      </c>
      <c r="R34" s="15">
        <f t="shared" si="3"/>
        <v>68106.5</v>
      </c>
      <c r="S34" s="15">
        <f t="shared" si="3"/>
        <v>62887.61</v>
      </c>
      <c r="T34" s="15">
        <f t="shared" si="3"/>
        <v>69268.710000000006</v>
      </c>
      <c r="U34" s="15">
        <f t="shared" si="3"/>
        <v>95622.92</v>
      </c>
      <c r="V34" s="15">
        <f t="shared" si="3"/>
        <v>182498.98</v>
      </c>
      <c r="W34" s="15">
        <f t="shared" si="3"/>
        <v>97343.33</v>
      </c>
      <c r="X34" s="15">
        <f t="shared" si="3"/>
        <v>137552.24</v>
      </c>
      <c r="Y34" s="15">
        <f t="shared" si="3"/>
        <v>63859.81</v>
      </c>
      <c r="Z34" s="15">
        <f>SUM(Z12:Z33)</f>
        <v>150368.01999999999</v>
      </c>
    </row>
    <row r="35" spans="1:26" s="16" customFormat="1" ht="15.75" customHeight="1" x14ac:dyDescent="0.25">
      <c r="A35" s="182" t="s">
        <v>31</v>
      </c>
      <c r="B35" s="183"/>
      <c r="C35" s="91">
        <v>9875</v>
      </c>
      <c r="D35" s="91">
        <v>8250</v>
      </c>
      <c r="E35" s="91">
        <v>10081</v>
      </c>
      <c r="F35" s="91">
        <v>5728</v>
      </c>
      <c r="G35" s="91">
        <v>11726</v>
      </c>
      <c r="H35" s="91">
        <v>2219</v>
      </c>
      <c r="I35" s="91">
        <v>5066</v>
      </c>
      <c r="J35" s="91">
        <v>4953</v>
      </c>
      <c r="K35" s="91">
        <v>9782</v>
      </c>
      <c r="L35" s="92">
        <v>1818</v>
      </c>
      <c r="M35" s="93">
        <v>1778.4</v>
      </c>
      <c r="N35" s="10">
        <v>3120</v>
      </c>
      <c r="O35" s="10">
        <f>853.4+461.3</f>
        <v>1314.7</v>
      </c>
      <c r="P35" s="17">
        <v>922</v>
      </c>
      <c r="Q35" s="17">
        <v>2100</v>
      </c>
      <c r="R35" s="17">
        <v>904</v>
      </c>
      <c r="S35" s="17">
        <v>659</v>
      </c>
      <c r="T35" s="17">
        <v>945</v>
      </c>
      <c r="U35" s="17">
        <v>2012</v>
      </c>
      <c r="V35" s="17">
        <v>2815</v>
      </c>
      <c r="W35" s="17">
        <v>2026</v>
      </c>
      <c r="X35" s="18">
        <v>2873</v>
      </c>
      <c r="Y35" s="19">
        <f>940+29.41</f>
        <v>969.41</v>
      </c>
      <c r="Z35" s="20">
        <v>3082.7</v>
      </c>
    </row>
    <row r="36" spans="1:26" s="24" customFormat="1" ht="17.25" customHeight="1" thickBot="1" x14ac:dyDescent="0.25">
      <c r="A36" s="184" t="s">
        <v>32</v>
      </c>
      <c r="B36" s="185"/>
      <c r="C36" s="44">
        <f t="shared" ref="C36:O36" si="4">C34/C35</f>
        <v>26.700625822784808</v>
      </c>
      <c r="D36" s="44">
        <f t="shared" si="4"/>
        <v>17.737196363636365</v>
      </c>
      <c r="E36" s="44">
        <f t="shared" si="4"/>
        <v>33.825215752405512</v>
      </c>
      <c r="F36" s="44">
        <f t="shared" si="4"/>
        <v>35.704813198324025</v>
      </c>
      <c r="G36" s="44">
        <f t="shared" si="4"/>
        <v>29.965477571209277</v>
      </c>
      <c r="H36" s="44">
        <f t="shared" si="4"/>
        <v>54.862100045065347</v>
      </c>
      <c r="I36" s="44">
        <f t="shared" si="4"/>
        <v>32.020227003553096</v>
      </c>
      <c r="J36" s="44">
        <f t="shared" si="4"/>
        <v>39.355996365838884</v>
      </c>
      <c r="K36" s="45">
        <f t="shared" si="4"/>
        <v>27.023333674095277</v>
      </c>
      <c r="L36" s="45">
        <f t="shared" si="4"/>
        <v>35.234323432343231</v>
      </c>
      <c r="M36" s="45">
        <f t="shared" si="4"/>
        <v>24.568409806567701</v>
      </c>
      <c r="N36" s="45">
        <f t="shared" si="4"/>
        <v>47.258881410256407</v>
      </c>
      <c r="O36" s="45">
        <f t="shared" si="4"/>
        <v>119.11988286301055</v>
      </c>
      <c r="P36" s="21">
        <f>ROUND(P34/P35,2)</f>
        <v>66.239999999999995</v>
      </c>
      <c r="Q36" s="21">
        <f t="shared" ref="Q36:Z36" si="5">ROUND(Q34/Q35,2)</f>
        <v>57.34</v>
      </c>
      <c r="R36" s="21">
        <f t="shared" si="5"/>
        <v>75.34</v>
      </c>
      <c r="S36" s="21">
        <f t="shared" si="5"/>
        <v>95.43</v>
      </c>
      <c r="T36" s="21">
        <f>ROUND(T34/T35,2)</f>
        <v>73.3</v>
      </c>
      <c r="U36" s="21">
        <f t="shared" si="5"/>
        <v>47.53</v>
      </c>
      <c r="V36" s="21">
        <f t="shared" si="5"/>
        <v>64.83</v>
      </c>
      <c r="W36" s="21">
        <f t="shared" si="5"/>
        <v>48.05</v>
      </c>
      <c r="X36" s="22">
        <f t="shared" si="5"/>
        <v>47.88</v>
      </c>
      <c r="Y36" s="22">
        <f t="shared" si="5"/>
        <v>65.87</v>
      </c>
      <c r="Z36" s="23">
        <f t="shared" si="5"/>
        <v>48.78</v>
      </c>
    </row>
    <row r="37" spans="1:26" s="16" customFormat="1" ht="15" customHeight="1" thickBot="1" x14ac:dyDescent="0.25">
      <c r="A37" s="186" t="s">
        <v>72</v>
      </c>
      <c r="B37" s="187"/>
      <c r="C37" s="188"/>
      <c r="D37" s="188"/>
      <c r="E37" s="188"/>
      <c r="F37" s="188"/>
      <c r="G37" s="188"/>
      <c r="H37" s="188"/>
      <c r="I37" s="188"/>
      <c r="J37" s="188"/>
      <c r="K37" s="188"/>
      <c r="L37" s="188"/>
      <c r="M37" s="85"/>
      <c r="N37" s="85"/>
      <c r="O37" s="85"/>
      <c r="P37" s="189"/>
      <c r="Q37" s="189"/>
      <c r="R37" s="189"/>
      <c r="S37" s="189"/>
      <c r="T37" s="189"/>
      <c r="U37" s="189"/>
      <c r="V37" s="189"/>
      <c r="W37" s="189"/>
      <c r="X37" s="189"/>
      <c r="Y37" s="189"/>
      <c r="Z37" s="190"/>
    </row>
    <row r="38" spans="1:26" s="16" customFormat="1" ht="29.25" customHeight="1" x14ac:dyDescent="0.2">
      <c r="A38" s="8">
        <v>11191</v>
      </c>
      <c r="B38" s="25" t="s">
        <v>76</v>
      </c>
      <c r="C38" s="61">
        <f>870*12</f>
        <v>10440</v>
      </c>
      <c r="D38" s="61">
        <f>870*12</f>
        <v>10440</v>
      </c>
      <c r="E38" s="61">
        <f>870*12</f>
        <v>10440</v>
      </c>
      <c r="F38" s="61">
        <f>760*12</f>
        <v>9120</v>
      </c>
      <c r="G38" s="61">
        <f>870*12</f>
        <v>10440</v>
      </c>
      <c r="H38" s="61">
        <f>650*12</f>
        <v>7800</v>
      </c>
      <c r="I38" s="61">
        <f>760*12</f>
        <v>9120</v>
      </c>
      <c r="J38" s="61">
        <f>760*12</f>
        <v>9120</v>
      </c>
      <c r="K38" s="61">
        <f>870*12</f>
        <v>10440</v>
      </c>
      <c r="L38" s="61">
        <f>540*12</f>
        <v>6480</v>
      </c>
      <c r="M38" s="61">
        <f>(500+1000)*12</f>
        <v>18000</v>
      </c>
      <c r="N38" s="61">
        <f>(800)*12</f>
        <v>9600</v>
      </c>
      <c r="O38" s="61">
        <f>640*12</f>
        <v>7680</v>
      </c>
      <c r="P38" s="61">
        <f>(850+630)*12</f>
        <v>17760</v>
      </c>
      <c r="Q38" s="61">
        <f>(900+700)*12</f>
        <v>19200</v>
      </c>
      <c r="R38" s="61">
        <f>(850+630)*12</f>
        <v>17760</v>
      </c>
      <c r="S38" s="61">
        <f>(850+630)*12</f>
        <v>17760</v>
      </c>
      <c r="T38" s="61">
        <f>(850+630)*12</f>
        <v>17760</v>
      </c>
      <c r="U38" s="61">
        <f>(900+700)*12</f>
        <v>19200</v>
      </c>
      <c r="V38" s="61">
        <f>(900+700)*12</f>
        <v>19200</v>
      </c>
      <c r="W38" s="61">
        <f>(900+700)*12</f>
        <v>19200</v>
      </c>
      <c r="X38" s="61">
        <f>(900+700)*12</f>
        <v>19200</v>
      </c>
      <c r="Y38" s="61">
        <f>(850+630)*12</f>
        <v>17760</v>
      </c>
      <c r="Z38" s="62">
        <f>(900+700)*12</f>
        <v>19200</v>
      </c>
    </row>
    <row r="39" spans="1:26" s="16" customFormat="1" ht="39.75" customHeight="1" x14ac:dyDescent="0.2">
      <c r="A39" s="8">
        <v>1210</v>
      </c>
      <c r="B39" s="25" t="s">
        <v>77</v>
      </c>
      <c r="C39" s="10">
        <f>ROUND(C38*0.2359,0)</f>
        <v>2463</v>
      </c>
      <c r="D39" s="10">
        <f t="shared" ref="D39:Z39" si="6">ROUND(D38*0.2359,0)</f>
        <v>2463</v>
      </c>
      <c r="E39" s="10">
        <f t="shared" si="6"/>
        <v>2463</v>
      </c>
      <c r="F39" s="10">
        <f t="shared" si="6"/>
        <v>2151</v>
      </c>
      <c r="G39" s="10">
        <f t="shared" si="6"/>
        <v>2463</v>
      </c>
      <c r="H39" s="10">
        <f t="shared" si="6"/>
        <v>1840</v>
      </c>
      <c r="I39" s="10">
        <f t="shared" si="6"/>
        <v>2151</v>
      </c>
      <c r="J39" s="10">
        <f t="shared" si="6"/>
        <v>2151</v>
      </c>
      <c r="K39" s="10">
        <f t="shared" si="6"/>
        <v>2463</v>
      </c>
      <c r="L39" s="10">
        <f t="shared" si="6"/>
        <v>1529</v>
      </c>
      <c r="M39" s="10">
        <f t="shared" si="6"/>
        <v>4246</v>
      </c>
      <c r="N39" s="10">
        <f t="shared" si="6"/>
        <v>2265</v>
      </c>
      <c r="O39" s="10">
        <f t="shared" si="6"/>
        <v>1812</v>
      </c>
      <c r="P39" s="10">
        <f t="shared" si="6"/>
        <v>4190</v>
      </c>
      <c r="Q39" s="10">
        <f t="shared" si="6"/>
        <v>4529</v>
      </c>
      <c r="R39" s="10">
        <f t="shared" si="6"/>
        <v>4190</v>
      </c>
      <c r="S39" s="10">
        <f t="shared" si="6"/>
        <v>4190</v>
      </c>
      <c r="T39" s="10">
        <f t="shared" si="6"/>
        <v>4190</v>
      </c>
      <c r="U39" s="10">
        <f t="shared" si="6"/>
        <v>4529</v>
      </c>
      <c r="V39" s="10">
        <f t="shared" si="6"/>
        <v>4529</v>
      </c>
      <c r="W39" s="10">
        <f t="shared" si="6"/>
        <v>4529</v>
      </c>
      <c r="X39" s="10">
        <f t="shared" si="6"/>
        <v>4529</v>
      </c>
      <c r="Y39" s="10">
        <f t="shared" si="6"/>
        <v>4190</v>
      </c>
      <c r="Z39" s="55">
        <f t="shared" si="6"/>
        <v>4529</v>
      </c>
    </row>
    <row r="40" spans="1:26" s="16" customFormat="1" ht="15" x14ac:dyDescent="0.25">
      <c r="A40" s="8">
        <v>2219</v>
      </c>
      <c r="B40" s="9" t="s">
        <v>33</v>
      </c>
      <c r="C40" s="65">
        <v>4000</v>
      </c>
      <c r="D40" s="65">
        <v>1150</v>
      </c>
      <c r="E40" s="65">
        <v>5200</v>
      </c>
      <c r="F40" s="65">
        <v>1950</v>
      </c>
      <c r="G40" s="65">
        <v>3900</v>
      </c>
      <c r="H40" s="65">
        <v>2500</v>
      </c>
      <c r="I40" s="65">
        <v>2550</v>
      </c>
      <c r="J40" s="65">
        <v>2000</v>
      </c>
      <c r="K40" s="65">
        <v>3450</v>
      </c>
      <c r="L40" s="66">
        <v>2250</v>
      </c>
      <c r="M40" s="65">
        <v>1200</v>
      </c>
      <c r="N40" s="65">
        <v>8100</v>
      </c>
      <c r="O40" s="65">
        <v>4000</v>
      </c>
      <c r="P40" s="10">
        <v>900</v>
      </c>
      <c r="Q40" s="56">
        <v>900</v>
      </c>
      <c r="R40" s="56">
        <v>800</v>
      </c>
      <c r="S40" s="10">
        <v>720</v>
      </c>
      <c r="T40" s="56">
        <v>1100</v>
      </c>
      <c r="U40" s="56">
        <v>910</v>
      </c>
      <c r="V40" s="56">
        <v>1200</v>
      </c>
      <c r="W40" s="56">
        <v>900</v>
      </c>
      <c r="X40" s="56">
        <v>1000</v>
      </c>
      <c r="Y40" s="56">
        <v>800</v>
      </c>
      <c r="Z40" s="63">
        <v>1950</v>
      </c>
    </row>
    <row r="41" spans="1:26" s="16" customFormat="1" ht="15" x14ac:dyDescent="0.25">
      <c r="A41" s="112">
        <v>2239</v>
      </c>
      <c r="B41" s="25" t="s">
        <v>34</v>
      </c>
      <c r="C41" s="65">
        <v>2500</v>
      </c>
      <c r="D41" s="65">
        <v>1500</v>
      </c>
      <c r="E41" s="65">
        <f>1100+514</f>
        <v>1614</v>
      </c>
      <c r="F41" s="10">
        <v>1500</v>
      </c>
      <c r="G41" s="65">
        <v>1500</v>
      </c>
      <c r="H41" s="65">
        <v>750</v>
      </c>
      <c r="I41" s="65">
        <v>1500</v>
      </c>
      <c r="J41" s="65">
        <v>2500</v>
      </c>
      <c r="K41" s="65">
        <v>1000</v>
      </c>
      <c r="L41" s="66">
        <v>900</v>
      </c>
      <c r="M41" s="65">
        <f>280+100</f>
        <v>380</v>
      </c>
      <c r="N41" s="65">
        <v>2500</v>
      </c>
      <c r="O41" s="65">
        <f>3500+1200</f>
        <v>4700</v>
      </c>
      <c r="P41" s="10">
        <v>250</v>
      </c>
      <c r="Q41" s="58">
        <v>500</v>
      </c>
      <c r="R41" s="58">
        <v>1000</v>
      </c>
      <c r="S41" s="58">
        <v>250</v>
      </c>
      <c r="T41" s="58">
        <v>620</v>
      </c>
      <c r="U41" s="58">
        <v>250</v>
      </c>
      <c r="V41" s="58">
        <v>1000</v>
      </c>
      <c r="W41" s="58">
        <v>1000</v>
      </c>
      <c r="X41" s="56">
        <v>250</v>
      </c>
      <c r="Y41" s="56">
        <v>250</v>
      </c>
      <c r="Z41" s="63">
        <f>350+400</f>
        <v>750</v>
      </c>
    </row>
    <row r="42" spans="1:26" s="16" customFormat="1" ht="15" x14ac:dyDescent="0.25">
      <c r="A42" s="112">
        <v>2251</v>
      </c>
      <c r="B42" s="25" t="s">
        <v>35</v>
      </c>
      <c r="C42" s="65">
        <v>800</v>
      </c>
      <c r="D42" s="65">
        <v>731</v>
      </c>
      <c r="E42" s="65">
        <v>2500</v>
      </c>
      <c r="F42" s="10">
        <v>1000</v>
      </c>
      <c r="G42" s="65">
        <v>331</v>
      </c>
      <c r="H42" s="65">
        <v>1900</v>
      </c>
      <c r="I42" s="65">
        <v>2000</v>
      </c>
      <c r="J42" s="65">
        <v>331</v>
      </c>
      <c r="K42" s="69">
        <v>1500</v>
      </c>
      <c r="L42" s="70">
        <v>700</v>
      </c>
      <c r="M42" s="65">
        <v>20</v>
      </c>
      <c r="N42" s="65">
        <v>485</v>
      </c>
      <c r="O42" s="65">
        <v>390</v>
      </c>
      <c r="P42" s="10">
        <v>0</v>
      </c>
      <c r="Q42" s="10">
        <v>0</v>
      </c>
      <c r="R42" s="10">
        <v>600</v>
      </c>
      <c r="S42" s="10">
        <v>0</v>
      </c>
      <c r="T42" s="10">
        <v>0</v>
      </c>
      <c r="U42" s="10">
        <v>0</v>
      </c>
      <c r="V42" s="10">
        <v>15</v>
      </c>
      <c r="W42" s="10">
        <v>0</v>
      </c>
      <c r="X42" s="10">
        <v>1080</v>
      </c>
      <c r="Y42" s="10">
        <v>0</v>
      </c>
      <c r="Z42" s="57">
        <v>600</v>
      </c>
    </row>
    <row r="43" spans="1:26" s="16" customFormat="1" ht="15" x14ac:dyDescent="0.25">
      <c r="A43" s="112">
        <v>2261</v>
      </c>
      <c r="B43" s="25" t="s">
        <v>36</v>
      </c>
      <c r="C43" s="10">
        <v>0</v>
      </c>
      <c r="D43" s="65">
        <v>121520</v>
      </c>
      <c r="E43" s="65">
        <v>20500</v>
      </c>
      <c r="F43" s="10">
        <v>0</v>
      </c>
      <c r="G43" s="10">
        <v>0</v>
      </c>
      <c r="H43" s="65">
        <v>700</v>
      </c>
      <c r="I43" s="10">
        <v>0</v>
      </c>
      <c r="J43" s="10">
        <v>0</v>
      </c>
      <c r="K43" s="69">
        <v>1300</v>
      </c>
      <c r="L43" s="54">
        <v>0</v>
      </c>
      <c r="M43" s="10">
        <v>0</v>
      </c>
      <c r="N43" s="65">
        <v>5000</v>
      </c>
      <c r="O43" s="65">
        <f>300+300</f>
        <v>600</v>
      </c>
      <c r="P43" s="10">
        <v>0</v>
      </c>
      <c r="Q43" s="10">
        <v>0</v>
      </c>
      <c r="R43" s="10">
        <v>0</v>
      </c>
      <c r="S43" s="10">
        <v>0</v>
      </c>
      <c r="T43" s="10">
        <v>0</v>
      </c>
      <c r="U43" s="10">
        <v>0</v>
      </c>
      <c r="V43" s="10">
        <v>0</v>
      </c>
      <c r="W43" s="10">
        <v>0</v>
      </c>
      <c r="X43" s="10">
        <v>0</v>
      </c>
      <c r="Y43" s="10">
        <v>0</v>
      </c>
      <c r="Z43" s="55">
        <v>0</v>
      </c>
    </row>
    <row r="44" spans="1:26" s="16" customFormat="1" ht="15" x14ac:dyDescent="0.25">
      <c r="A44" s="112">
        <v>2311</v>
      </c>
      <c r="B44" s="25" t="s">
        <v>37</v>
      </c>
      <c r="C44" s="65">
        <v>4000</v>
      </c>
      <c r="D44" s="65">
        <v>7000</v>
      </c>
      <c r="E44" s="65">
        <v>7000</v>
      </c>
      <c r="F44" s="10">
        <v>5000</v>
      </c>
      <c r="G44" s="65">
        <f>6000+200</f>
        <v>6200</v>
      </c>
      <c r="H44" s="65">
        <v>3800</v>
      </c>
      <c r="I44" s="65">
        <v>5000</v>
      </c>
      <c r="J44" s="65">
        <v>4800</v>
      </c>
      <c r="K44" s="65">
        <v>6650</v>
      </c>
      <c r="L44" s="66">
        <v>1000</v>
      </c>
      <c r="M44" s="65">
        <f>500+450</f>
        <v>950</v>
      </c>
      <c r="N44" s="65">
        <v>8000</v>
      </c>
      <c r="O44" s="65">
        <f>3000+800</f>
        <v>3800</v>
      </c>
      <c r="P44" s="10">
        <v>2000</v>
      </c>
      <c r="Q44" s="56">
        <v>3000</v>
      </c>
      <c r="R44" s="56">
        <v>2500</v>
      </c>
      <c r="S44" s="56">
        <v>1700</v>
      </c>
      <c r="T44" s="56">
        <v>1650</v>
      </c>
      <c r="U44" s="56">
        <v>2500</v>
      </c>
      <c r="V44" s="56">
        <v>2500</v>
      </c>
      <c r="W44" s="56">
        <v>2600</v>
      </c>
      <c r="X44" s="56">
        <v>4000</v>
      </c>
      <c r="Y44" s="56">
        <v>2000</v>
      </c>
      <c r="Z44" s="57">
        <v>1000</v>
      </c>
    </row>
    <row r="45" spans="1:26" s="16" customFormat="1" ht="15" x14ac:dyDescent="0.25">
      <c r="A45" s="112">
        <v>2313</v>
      </c>
      <c r="B45" s="25" t="s">
        <v>38</v>
      </c>
      <c r="C45" s="10">
        <v>0</v>
      </c>
      <c r="D45" s="65">
        <v>500</v>
      </c>
      <c r="E45" s="10">
        <v>0</v>
      </c>
      <c r="F45" s="10">
        <v>300</v>
      </c>
      <c r="G45" s="10">
        <v>0</v>
      </c>
      <c r="H45" s="10">
        <v>0</v>
      </c>
      <c r="I45" s="10">
        <v>0</v>
      </c>
      <c r="J45" s="10">
        <v>0</v>
      </c>
      <c r="K45" s="10">
        <v>0</v>
      </c>
      <c r="L45" s="54">
        <v>0</v>
      </c>
      <c r="M45" s="10">
        <v>0</v>
      </c>
      <c r="N45" s="10">
        <v>0</v>
      </c>
      <c r="O45" s="10">
        <v>0</v>
      </c>
      <c r="P45" s="10">
        <v>800</v>
      </c>
      <c r="Q45" s="56">
        <v>500</v>
      </c>
      <c r="R45" s="56">
        <v>500</v>
      </c>
      <c r="S45" s="56">
        <v>500</v>
      </c>
      <c r="T45" s="56">
        <v>100</v>
      </c>
      <c r="U45" s="56">
        <v>300</v>
      </c>
      <c r="V45" s="56">
        <v>310</v>
      </c>
      <c r="W45" s="10">
        <v>500</v>
      </c>
      <c r="X45" s="54">
        <v>500</v>
      </c>
      <c r="Y45" s="56">
        <v>250</v>
      </c>
      <c r="Z45" s="57">
        <v>500</v>
      </c>
    </row>
    <row r="46" spans="1:26" s="16" customFormat="1" ht="15.75" thickBot="1" x14ac:dyDescent="0.25">
      <c r="A46" s="13" t="s">
        <v>29</v>
      </c>
      <c r="B46" s="14" t="s">
        <v>39</v>
      </c>
      <c r="C46" s="52">
        <v>5098.5600000000004</v>
      </c>
      <c r="D46" s="52">
        <v>19388.349999999999</v>
      </c>
      <c r="E46" s="52">
        <v>11095.11</v>
      </c>
      <c r="F46" s="52">
        <v>4447.1099999999997</v>
      </c>
      <c r="G46" s="52">
        <v>4606.3999999999996</v>
      </c>
      <c r="H46" s="52">
        <v>1128.48</v>
      </c>
      <c r="I46" s="52">
        <v>5108.57</v>
      </c>
      <c r="J46" s="52">
        <v>16702.11</v>
      </c>
      <c r="K46" s="52">
        <v>6919.5</v>
      </c>
      <c r="L46" s="53">
        <v>5462.11</v>
      </c>
      <c r="M46" s="52">
        <v>565.91</v>
      </c>
      <c r="N46" s="52">
        <v>11372.39</v>
      </c>
      <c r="O46" s="52">
        <f>5014.03+4735.86+1755.68</f>
        <v>11505.57</v>
      </c>
      <c r="P46" s="52">
        <v>2750.15</v>
      </c>
      <c r="Q46" s="52">
        <v>2510.42</v>
      </c>
      <c r="R46" s="52">
        <v>4452.7299999999996</v>
      </c>
      <c r="S46" s="52">
        <v>395.08</v>
      </c>
      <c r="T46" s="52">
        <v>3012.84</v>
      </c>
      <c r="U46" s="52">
        <v>2364.7199999999998</v>
      </c>
      <c r="V46" s="52">
        <v>8315.35</v>
      </c>
      <c r="W46" s="52">
        <v>787.93</v>
      </c>
      <c r="X46" s="53">
        <v>10227.15</v>
      </c>
      <c r="Y46" s="53">
        <v>6818.09</v>
      </c>
      <c r="Z46" s="64">
        <v>38306.839999999997</v>
      </c>
    </row>
    <row r="47" spans="1:26" s="16" customFormat="1" ht="15" customHeight="1" thickBot="1" x14ac:dyDescent="0.25">
      <c r="A47" s="178" t="s">
        <v>40</v>
      </c>
      <c r="B47" s="179"/>
      <c r="C47" s="15">
        <f>SUM(C38:C46)</f>
        <v>29301.56</v>
      </c>
      <c r="D47" s="15">
        <f t="shared" ref="D47:Z47" si="7">SUM(D38:D46)</f>
        <v>164692.35</v>
      </c>
      <c r="E47" s="15">
        <f t="shared" si="7"/>
        <v>60812.11</v>
      </c>
      <c r="F47" s="15">
        <f t="shared" si="7"/>
        <v>25468.11</v>
      </c>
      <c r="G47" s="15">
        <f t="shared" si="7"/>
        <v>29440.400000000001</v>
      </c>
      <c r="H47" s="15">
        <f t="shared" si="7"/>
        <v>20418.48</v>
      </c>
      <c r="I47" s="15">
        <f t="shared" si="7"/>
        <v>27429.57</v>
      </c>
      <c r="J47" s="15">
        <f t="shared" si="7"/>
        <v>37604.11</v>
      </c>
      <c r="K47" s="15">
        <f t="shared" si="7"/>
        <v>33722.5</v>
      </c>
      <c r="L47" s="15">
        <f t="shared" si="7"/>
        <v>18321.11</v>
      </c>
      <c r="M47" s="15">
        <f t="shared" si="7"/>
        <v>25361.91</v>
      </c>
      <c r="N47" s="15">
        <f t="shared" si="7"/>
        <v>47322.39</v>
      </c>
      <c r="O47" s="15">
        <f t="shared" si="7"/>
        <v>34487.57</v>
      </c>
      <c r="P47" s="15">
        <f t="shared" si="7"/>
        <v>28650.15</v>
      </c>
      <c r="Q47" s="15">
        <f t="shared" si="7"/>
        <v>31139.42</v>
      </c>
      <c r="R47" s="15">
        <f t="shared" si="7"/>
        <v>31802.73</v>
      </c>
      <c r="S47" s="15">
        <f t="shared" si="7"/>
        <v>25515.08</v>
      </c>
      <c r="T47" s="15">
        <f t="shared" si="7"/>
        <v>28432.84</v>
      </c>
      <c r="U47" s="15">
        <f t="shared" si="7"/>
        <v>30053.72</v>
      </c>
      <c r="V47" s="15">
        <f t="shared" si="7"/>
        <v>37069.35</v>
      </c>
      <c r="W47" s="15">
        <f t="shared" si="7"/>
        <v>29516.93</v>
      </c>
      <c r="X47" s="15">
        <f t="shared" si="7"/>
        <v>40786.15</v>
      </c>
      <c r="Y47" s="15">
        <f t="shared" si="7"/>
        <v>32068.09</v>
      </c>
      <c r="Z47" s="15">
        <f t="shared" si="7"/>
        <v>66835.839999999997</v>
      </c>
    </row>
    <row r="48" spans="1:26" s="16" customFormat="1" ht="15.75" customHeight="1" thickBot="1" x14ac:dyDescent="0.25">
      <c r="A48" s="199" t="s">
        <v>41</v>
      </c>
      <c r="B48" s="200"/>
      <c r="C48" s="26">
        <f>ROUND((C38+C39)/271703,3)</f>
        <v>4.7E-2</v>
      </c>
      <c r="D48" s="26">
        <f>ROUND((D38+D39)/213019,3)</f>
        <v>6.0999999999999999E-2</v>
      </c>
      <c r="E48" s="26">
        <f>ROUND((E38+E39)/300784,3)</f>
        <v>4.2999999999999997E-2</v>
      </c>
      <c r="F48" s="26">
        <f>ROUND((F38+F39)/186166,3)</f>
        <v>6.0999999999999999E-2</v>
      </c>
      <c r="G48" s="26">
        <f>ROUND((G38+G39)/317720,3)</f>
        <v>4.1000000000000002E-2</v>
      </c>
      <c r="H48" s="26">
        <f>ROUND((H38+H39)/145443,3)</f>
        <v>6.6000000000000003E-2</v>
      </c>
      <c r="I48" s="26">
        <f>ROUND((I38+I39)/177649,3)</f>
        <v>6.3E-2</v>
      </c>
      <c r="J48" s="26">
        <f>ROUND((J38+J39)/210366,3)</f>
        <v>5.3999999999999999E-2</v>
      </c>
      <c r="K48" s="26">
        <f>ROUND((K38+K39)/224977,3)</f>
        <v>5.7000000000000002E-2</v>
      </c>
      <c r="L48" s="94">
        <f>ROUND((L38+L39)/103527,3)</f>
        <v>7.6999999999999999E-2</v>
      </c>
      <c r="M48" s="94">
        <f>ROUND((M38+M39)/94339,3)</f>
        <v>0.23599999999999999</v>
      </c>
      <c r="N48" s="94">
        <f>ROUND((N38+N39)/179755,3)</f>
        <v>6.6000000000000003E-2</v>
      </c>
      <c r="O48" s="94">
        <f>ROUND((O38+O39)/220919,3)</f>
        <v>4.2999999999999997E-2</v>
      </c>
      <c r="P48" s="26">
        <f>ROUND((P38+P39)/176755,3)</f>
        <v>0.124</v>
      </c>
      <c r="Q48" s="27">
        <f>ROUND((Q38+Q39)/353012,3)</f>
        <v>6.7000000000000004E-2</v>
      </c>
      <c r="R48" s="26">
        <f>ROUND((R38+R39)/218054,3)</f>
        <v>0.10100000000000001</v>
      </c>
      <c r="S48" s="26">
        <f>ROUND((S38+S39)/145001,3)</f>
        <v>0.151</v>
      </c>
      <c r="T48" s="26">
        <f>ROUND((T38+T39)/195340,3)</f>
        <v>0.112</v>
      </c>
      <c r="U48" s="26">
        <f>ROUND((U38+U39)/314001,3)</f>
        <v>7.5999999999999998E-2</v>
      </c>
      <c r="V48" s="26">
        <f>ROUND((V38+V39)/437259,3)</f>
        <v>5.3999999999999999E-2</v>
      </c>
      <c r="W48" s="26">
        <f>ROUND((W38+W39)/387566,3)</f>
        <v>6.0999999999999999E-2</v>
      </c>
      <c r="X48" s="26">
        <f>ROUND((X38+X39)/358015,3)</f>
        <v>6.6000000000000003E-2</v>
      </c>
      <c r="Y48" s="26">
        <f>ROUND((Y38+Y39)/222825,3)</f>
        <v>9.9000000000000005E-2</v>
      </c>
      <c r="Z48" s="28">
        <f>ROUND((Z38+Z39)/472127,3)</f>
        <v>0.05</v>
      </c>
    </row>
    <row r="49" spans="1:29" s="16" customFormat="1" ht="15.75" customHeight="1" x14ac:dyDescent="0.2">
      <c r="A49" s="182" t="s">
        <v>31</v>
      </c>
      <c r="B49" s="183"/>
      <c r="C49" s="91">
        <v>9875</v>
      </c>
      <c r="D49" s="91">
        <v>8250</v>
      </c>
      <c r="E49" s="91">
        <v>10081</v>
      </c>
      <c r="F49" s="91">
        <v>5728</v>
      </c>
      <c r="G49" s="91">
        <v>11726</v>
      </c>
      <c r="H49" s="91">
        <v>2219</v>
      </c>
      <c r="I49" s="91">
        <v>5066</v>
      </c>
      <c r="J49" s="91">
        <v>4953</v>
      </c>
      <c r="K49" s="91">
        <v>9782</v>
      </c>
      <c r="L49" s="92">
        <v>1818</v>
      </c>
      <c r="M49" s="10">
        <v>1778</v>
      </c>
      <c r="N49" s="10">
        <v>3120</v>
      </c>
      <c r="O49" s="10">
        <f>853.4+461.3</f>
        <v>1314.7</v>
      </c>
      <c r="P49" s="17">
        <v>922</v>
      </c>
      <c r="Q49" s="17">
        <v>2100</v>
      </c>
      <c r="R49" s="17">
        <v>904</v>
      </c>
      <c r="S49" s="17">
        <v>659</v>
      </c>
      <c r="T49" s="17">
        <v>945</v>
      </c>
      <c r="U49" s="17">
        <v>2012</v>
      </c>
      <c r="V49" s="17">
        <v>2815</v>
      </c>
      <c r="W49" s="17">
        <v>2026</v>
      </c>
      <c r="X49" s="18">
        <v>2873</v>
      </c>
      <c r="Y49" s="19">
        <f>940+29.41</f>
        <v>969.41</v>
      </c>
      <c r="Z49" s="20">
        <v>3082.7</v>
      </c>
    </row>
    <row r="50" spans="1:29" s="24" customFormat="1" ht="15.75" customHeight="1" x14ac:dyDescent="0.2">
      <c r="A50" s="201" t="s">
        <v>42</v>
      </c>
      <c r="B50" s="202"/>
      <c r="C50" s="29">
        <f>C47*C48/C49</f>
        <v>0.13946058936708861</v>
      </c>
      <c r="D50" s="29">
        <f t="shared" ref="D50:O50" si="8">D47*D48/D49</f>
        <v>1.2177252545454547</v>
      </c>
      <c r="E50" s="29">
        <f>E47*E48/E49</f>
        <v>0.25939100585259395</v>
      </c>
      <c r="F50" s="29">
        <f t="shared" si="8"/>
        <v>0.27122114350558663</v>
      </c>
      <c r="G50" s="29">
        <f t="shared" si="8"/>
        <v>0.10293846153846155</v>
      </c>
      <c r="H50" s="29">
        <f t="shared" si="8"/>
        <v>0.60730945470932851</v>
      </c>
      <c r="I50" s="29">
        <f t="shared" si="8"/>
        <v>0.34110993091196212</v>
      </c>
      <c r="J50" s="29">
        <f t="shared" si="8"/>
        <v>0.40997818291944277</v>
      </c>
      <c r="K50" s="29">
        <f t="shared" si="8"/>
        <v>0.19650199345737068</v>
      </c>
      <c r="L50" s="30">
        <f t="shared" si="8"/>
        <v>0.77597660616061614</v>
      </c>
      <c r="M50" s="30">
        <f t="shared" si="8"/>
        <v>3.3663727559055117</v>
      </c>
      <c r="N50" s="30">
        <f t="shared" si="8"/>
        <v>1.0010505576923077</v>
      </c>
      <c r="O50" s="30">
        <f t="shared" si="8"/>
        <v>1.1279877614664939</v>
      </c>
      <c r="P50" s="29">
        <f>ROUND(P47*P48/P49,2)</f>
        <v>3.85</v>
      </c>
      <c r="Q50" s="29">
        <f>ROUND(Q47*Q48/Q49,2)</f>
        <v>0.99</v>
      </c>
      <c r="R50" s="29">
        <f>ROUND(R47*R48/R49,2)</f>
        <v>3.55</v>
      </c>
      <c r="S50" s="29">
        <f t="shared" ref="S50:Z50" si="9">ROUND(S47*S48/S49,2)</f>
        <v>5.85</v>
      </c>
      <c r="T50" s="29">
        <f t="shared" si="9"/>
        <v>3.37</v>
      </c>
      <c r="U50" s="29">
        <f t="shared" si="9"/>
        <v>1.1399999999999999</v>
      </c>
      <c r="V50" s="29">
        <f t="shared" si="9"/>
        <v>0.71</v>
      </c>
      <c r="W50" s="29">
        <f t="shared" si="9"/>
        <v>0.89</v>
      </c>
      <c r="X50" s="30">
        <f t="shared" si="9"/>
        <v>0.94</v>
      </c>
      <c r="Y50" s="30">
        <f t="shared" si="9"/>
        <v>3.27</v>
      </c>
      <c r="Z50" s="31">
        <f t="shared" si="9"/>
        <v>1.08</v>
      </c>
    </row>
    <row r="51" spans="1:29" ht="15.75" customHeight="1" thickBot="1" x14ac:dyDescent="0.25">
      <c r="A51" s="203" t="s">
        <v>57</v>
      </c>
      <c r="B51" s="204"/>
      <c r="C51" s="32">
        <f t="shared" ref="C51:Z51" si="10">C36+C50</f>
        <v>26.840086412151898</v>
      </c>
      <c r="D51" s="32">
        <f t="shared" si="10"/>
        <v>18.954921618181821</v>
      </c>
      <c r="E51" s="32">
        <f t="shared" si="10"/>
        <v>34.084606758258104</v>
      </c>
      <c r="F51" s="32">
        <f t="shared" si="10"/>
        <v>35.97603434182961</v>
      </c>
      <c r="G51" s="32">
        <f t="shared" si="10"/>
        <v>30.068416032747738</v>
      </c>
      <c r="H51" s="32">
        <f t="shared" si="10"/>
        <v>55.469409499774677</v>
      </c>
      <c r="I51" s="32">
        <f t="shared" si="10"/>
        <v>32.361336934465058</v>
      </c>
      <c r="J51" s="32">
        <f t="shared" si="10"/>
        <v>39.765974548758329</v>
      </c>
      <c r="K51" s="32">
        <f t="shared" si="10"/>
        <v>27.219835667552648</v>
      </c>
      <c r="L51" s="33">
        <f t="shared" si="10"/>
        <v>36.01030003850385</v>
      </c>
      <c r="M51" s="33">
        <f t="shared" si="10"/>
        <v>27.934782562473213</v>
      </c>
      <c r="N51" s="33">
        <f t="shared" si="10"/>
        <v>48.259931967948717</v>
      </c>
      <c r="O51" s="33">
        <f t="shared" si="10"/>
        <v>120.24787062447704</v>
      </c>
      <c r="P51" s="32">
        <f t="shared" si="10"/>
        <v>70.089999999999989</v>
      </c>
      <c r="Q51" s="32">
        <f t="shared" si="10"/>
        <v>58.330000000000005</v>
      </c>
      <c r="R51" s="32">
        <f t="shared" si="10"/>
        <v>78.89</v>
      </c>
      <c r="S51" s="32">
        <f t="shared" si="10"/>
        <v>101.28</v>
      </c>
      <c r="T51" s="32">
        <f t="shared" si="10"/>
        <v>76.67</v>
      </c>
      <c r="U51" s="32">
        <f t="shared" si="10"/>
        <v>48.67</v>
      </c>
      <c r="V51" s="32">
        <f t="shared" si="10"/>
        <v>65.539999999999992</v>
      </c>
      <c r="W51" s="32">
        <f t="shared" si="10"/>
        <v>48.94</v>
      </c>
      <c r="X51" s="33">
        <f t="shared" si="10"/>
        <v>48.82</v>
      </c>
      <c r="Y51" s="33">
        <f t="shared" si="10"/>
        <v>69.14</v>
      </c>
      <c r="Z51" s="34">
        <f t="shared" si="10"/>
        <v>49.86</v>
      </c>
    </row>
    <row r="52" spans="1:29" s="38" customFormat="1" ht="17.25" customHeight="1" thickBot="1" x14ac:dyDescent="0.3">
      <c r="A52" s="205" t="s">
        <v>58</v>
      </c>
      <c r="B52" s="206"/>
      <c r="C52" s="35">
        <f>ROUND(C51/12,2)</f>
        <v>2.2400000000000002</v>
      </c>
      <c r="D52" s="35">
        <f t="shared" ref="D52:K52" si="11">ROUND(D51/12,2)</f>
        <v>1.58</v>
      </c>
      <c r="E52" s="35">
        <f t="shared" si="11"/>
        <v>2.84</v>
      </c>
      <c r="F52" s="35">
        <f t="shared" si="11"/>
        <v>3</v>
      </c>
      <c r="G52" s="35">
        <f t="shared" si="11"/>
        <v>2.5099999999999998</v>
      </c>
      <c r="H52" s="35">
        <f t="shared" si="11"/>
        <v>4.62</v>
      </c>
      <c r="I52" s="35">
        <f t="shared" si="11"/>
        <v>2.7</v>
      </c>
      <c r="J52" s="35">
        <f t="shared" si="11"/>
        <v>3.31</v>
      </c>
      <c r="K52" s="35">
        <f t="shared" si="11"/>
        <v>2.27</v>
      </c>
      <c r="L52" s="36">
        <f>ROUND(L51/12,2)</f>
        <v>3</v>
      </c>
      <c r="M52" s="36">
        <f t="shared" ref="M52:O52" si="12">ROUND(M51/12,2)</f>
        <v>2.33</v>
      </c>
      <c r="N52" s="36">
        <f t="shared" si="12"/>
        <v>4.0199999999999996</v>
      </c>
      <c r="O52" s="36">
        <f t="shared" si="12"/>
        <v>10.02</v>
      </c>
      <c r="P52" s="35">
        <f>ROUND(P51/12,2)</f>
        <v>5.84</v>
      </c>
      <c r="Q52" s="35">
        <f>ROUND(Q51/12,2)</f>
        <v>4.8600000000000003</v>
      </c>
      <c r="R52" s="35">
        <f t="shared" ref="R52:Z52" si="13">ROUND(R51/12,2)</f>
        <v>6.57</v>
      </c>
      <c r="S52" s="35">
        <f t="shared" si="13"/>
        <v>8.44</v>
      </c>
      <c r="T52" s="35">
        <f t="shared" si="13"/>
        <v>6.39</v>
      </c>
      <c r="U52" s="35">
        <f t="shared" si="13"/>
        <v>4.0599999999999996</v>
      </c>
      <c r="V52" s="35">
        <f t="shared" si="13"/>
        <v>5.46</v>
      </c>
      <c r="W52" s="35">
        <f t="shared" si="13"/>
        <v>4.08</v>
      </c>
      <c r="X52" s="36">
        <f t="shared" si="13"/>
        <v>4.07</v>
      </c>
      <c r="Y52" s="36">
        <f>ROUND(Y51/10,2)</f>
        <v>6.91</v>
      </c>
      <c r="Z52" s="37">
        <f t="shared" si="13"/>
        <v>4.16</v>
      </c>
      <c r="AA52" s="39"/>
      <c r="AC52" s="99"/>
    </row>
    <row r="53" spans="1:29" ht="16.5" customHeight="1" outlineLevel="1" x14ac:dyDescent="0.25">
      <c r="A53" s="195" t="s">
        <v>105</v>
      </c>
      <c r="B53" s="196"/>
      <c r="C53" s="133">
        <v>2.08</v>
      </c>
      <c r="D53" s="133">
        <v>2.46</v>
      </c>
      <c r="E53" s="133">
        <v>3.42</v>
      </c>
      <c r="F53" s="133">
        <v>2.94</v>
      </c>
      <c r="G53" s="133">
        <v>2.06</v>
      </c>
      <c r="H53" s="133">
        <v>4.18</v>
      </c>
      <c r="I53" s="133">
        <v>2.5499999999999998</v>
      </c>
      <c r="J53" s="133">
        <v>3.17</v>
      </c>
      <c r="K53" s="133">
        <v>2.11</v>
      </c>
      <c r="L53" s="133">
        <v>3.77</v>
      </c>
      <c r="M53" s="134" t="s">
        <v>86</v>
      </c>
      <c r="N53" s="134" t="s">
        <v>86</v>
      </c>
      <c r="O53" s="134" t="s">
        <v>86</v>
      </c>
      <c r="P53" s="136">
        <v>5.79</v>
      </c>
      <c r="Q53" s="136">
        <v>4.3</v>
      </c>
      <c r="R53" s="136">
        <v>6.31</v>
      </c>
      <c r="S53" s="136">
        <v>7.26</v>
      </c>
      <c r="T53" s="136">
        <v>5.37</v>
      </c>
      <c r="U53" s="136">
        <v>3.91</v>
      </c>
      <c r="V53" s="136">
        <v>4.91</v>
      </c>
      <c r="W53" s="136">
        <v>4.34</v>
      </c>
      <c r="X53" s="136">
        <v>4.0599999999999996</v>
      </c>
      <c r="Y53" s="136">
        <v>7.35</v>
      </c>
      <c r="Z53" s="137">
        <v>5.67</v>
      </c>
      <c r="AA53" s="24"/>
    </row>
    <row r="54" spans="1:29" s="24" customFormat="1" ht="16.5" customHeight="1" outlineLevel="1" thickBot="1" x14ac:dyDescent="0.25">
      <c r="A54" s="197" t="s">
        <v>104</v>
      </c>
      <c r="B54" s="198"/>
      <c r="C54" s="46">
        <f>(C52/C53*1)-1</f>
        <v>7.6923076923077094E-2</v>
      </c>
      <c r="D54" s="46">
        <f t="shared" ref="D54:L54" si="14">(D52/D53*1)-1</f>
        <v>-0.35772357723577231</v>
      </c>
      <c r="E54" s="46">
        <f t="shared" si="14"/>
        <v>-0.16959064327485385</v>
      </c>
      <c r="F54" s="46">
        <f t="shared" si="14"/>
        <v>2.0408163265306145E-2</v>
      </c>
      <c r="G54" s="46">
        <f t="shared" si="14"/>
        <v>0.21844660194174748</v>
      </c>
      <c r="H54" s="46">
        <f t="shared" si="14"/>
        <v>0.10526315789473695</v>
      </c>
      <c r="I54" s="46">
        <f t="shared" si="14"/>
        <v>5.8823529411764941E-2</v>
      </c>
      <c r="J54" s="46">
        <f t="shared" si="14"/>
        <v>4.4164037854889537E-2</v>
      </c>
      <c r="K54" s="46">
        <f t="shared" si="14"/>
        <v>7.5829383886256041E-2</v>
      </c>
      <c r="L54" s="46">
        <f t="shared" si="14"/>
        <v>-0.20424403183023876</v>
      </c>
      <c r="M54" s="90" t="s">
        <v>86</v>
      </c>
      <c r="N54" s="90" t="s">
        <v>86</v>
      </c>
      <c r="O54" s="90" t="s">
        <v>86</v>
      </c>
      <c r="P54" s="46">
        <f t="shared" ref="P54:Z54" si="15">(P52/P53*1)-1</f>
        <v>8.6355785837650689E-3</v>
      </c>
      <c r="Q54" s="46">
        <f t="shared" si="15"/>
        <v>0.13023255813953494</v>
      </c>
      <c r="R54" s="46">
        <f t="shared" si="15"/>
        <v>4.1204437400951033E-2</v>
      </c>
      <c r="S54" s="46">
        <f t="shared" si="15"/>
        <v>0.16253443526170797</v>
      </c>
      <c r="T54" s="46">
        <f t="shared" si="15"/>
        <v>0.1899441340782122</v>
      </c>
      <c r="U54" s="46">
        <f t="shared" si="15"/>
        <v>3.8363171355498604E-2</v>
      </c>
      <c r="V54" s="46">
        <f t="shared" si="15"/>
        <v>0.11201629327902229</v>
      </c>
      <c r="W54" s="46">
        <f t="shared" si="15"/>
        <v>-5.9907834101382451E-2</v>
      </c>
      <c r="X54" s="46">
        <f t="shared" si="15"/>
        <v>2.4630541871923928E-3</v>
      </c>
      <c r="Y54" s="46">
        <f t="shared" si="15"/>
        <v>-5.986394557823127E-2</v>
      </c>
      <c r="Z54" s="135">
        <f t="shared" si="15"/>
        <v>-0.26631393298059958</v>
      </c>
    </row>
    <row r="55" spans="1:29" ht="15.75" customHeight="1" x14ac:dyDescent="0.25">
      <c r="A55" s="40" t="s">
        <v>78</v>
      </c>
      <c r="B55" s="47"/>
      <c r="C55" s="42"/>
      <c r="D55" s="42"/>
      <c r="E55" s="42"/>
      <c r="F55" s="42"/>
      <c r="G55" s="42"/>
      <c r="H55" s="42"/>
      <c r="I55" s="42"/>
      <c r="J55" s="42"/>
      <c r="K55" s="42"/>
      <c r="L55" s="42"/>
      <c r="M55" s="42"/>
      <c r="N55" s="42"/>
      <c r="O55" s="42"/>
    </row>
    <row r="56" spans="1:29" ht="15.75" customHeight="1" x14ac:dyDescent="0.25">
      <c r="A56" s="40"/>
      <c r="B56" s="47"/>
      <c r="C56" s="42"/>
      <c r="D56" s="42"/>
      <c r="E56" s="42"/>
      <c r="F56" s="42"/>
      <c r="G56" s="42"/>
      <c r="H56" s="42"/>
      <c r="I56" s="42"/>
      <c r="J56" s="42"/>
      <c r="K56" s="42"/>
      <c r="L56" s="42"/>
      <c r="M56" s="42"/>
      <c r="N56" s="42"/>
      <c r="O56" s="42"/>
    </row>
    <row r="57" spans="1:29" s="2" customFormat="1" ht="22.5" customHeight="1" x14ac:dyDescent="0.3">
      <c r="A57" s="177" t="s">
        <v>83</v>
      </c>
      <c r="B57" s="177"/>
      <c r="C57" s="177"/>
      <c r="D57" s="48"/>
      <c r="E57" s="48"/>
    </row>
    <row r="58" spans="1:29" s="2" customFormat="1" ht="15.75" customHeight="1" x14ac:dyDescent="0.25">
      <c r="A58" s="48"/>
      <c r="B58" s="48"/>
      <c r="C58" s="48"/>
      <c r="D58" s="48"/>
      <c r="E58" s="48"/>
    </row>
    <row r="59" spans="1:29" s="48" customFormat="1" ht="50.25" customHeight="1" x14ac:dyDescent="0.25">
      <c r="B59" s="115" t="s">
        <v>43</v>
      </c>
      <c r="C59" s="115" t="s">
        <v>47</v>
      </c>
      <c r="D59" s="115" t="s">
        <v>48</v>
      </c>
      <c r="E59" s="115" t="s">
        <v>49</v>
      </c>
      <c r="F59" s="115" t="s">
        <v>50</v>
      </c>
      <c r="G59" s="115" t="s">
        <v>64</v>
      </c>
      <c r="H59" s="115" t="s">
        <v>51</v>
      </c>
      <c r="I59" s="115" t="s">
        <v>52</v>
      </c>
      <c r="J59" s="115" t="s">
        <v>53</v>
      </c>
      <c r="K59" s="115" t="s">
        <v>54</v>
      </c>
      <c r="L59" s="115" t="s">
        <v>69</v>
      </c>
      <c r="M59" s="115" t="s">
        <v>70</v>
      </c>
      <c r="N59" s="115" t="s">
        <v>55</v>
      </c>
      <c r="O59" s="115" t="s">
        <v>68</v>
      </c>
      <c r="Q59" s="116"/>
      <c r="R59" s="116"/>
      <c r="S59" s="116"/>
      <c r="T59" s="116"/>
      <c r="U59" s="116"/>
      <c r="V59" s="116"/>
      <c r="W59" s="116"/>
      <c r="X59" s="116"/>
      <c r="Y59" s="117"/>
      <c r="Z59" s="117"/>
    </row>
    <row r="60" spans="1:29" s="48" customFormat="1" ht="20.25" customHeight="1" x14ac:dyDescent="0.25">
      <c r="B60" s="118" t="s">
        <v>85</v>
      </c>
      <c r="C60" s="164">
        <v>356</v>
      </c>
      <c r="D60" s="164">
        <v>419</v>
      </c>
      <c r="E60" s="164">
        <v>257</v>
      </c>
      <c r="F60" s="164">
        <v>237</v>
      </c>
      <c r="G60" s="164">
        <v>311</v>
      </c>
      <c r="H60" s="164">
        <v>166</v>
      </c>
      <c r="I60" s="164">
        <v>200</v>
      </c>
      <c r="J60" s="164">
        <v>309</v>
      </c>
      <c r="K60" s="164">
        <v>353</v>
      </c>
      <c r="L60" s="164">
        <v>275</v>
      </c>
      <c r="M60" s="164">
        <v>96</v>
      </c>
      <c r="N60" s="164">
        <v>94</v>
      </c>
      <c r="O60" s="165">
        <v>158</v>
      </c>
      <c r="Q60" s="97"/>
      <c r="R60" s="97"/>
      <c r="S60" s="97"/>
      <c r="T60" s="97"/>
      <c r="U60" s="97"/>
      <c r="V60" s="97"/>
      <c r="W60" s="97"/>
      <c r="X60" s="97"/>
      <c r="Y60" s="97"/>
      <c r="Z60" s="97"/>
    </row>
    <row r="61" spans="1:29" s="48" customFormat="1" ht="15.75" customHeight="1" x14ac:dyDescent="0.25">
      <c r="B61" s="119" t="s">
        <v>44</v>
      </c>
      <c r="C61" s="120">
        <v>80</v>
      </c>
      <c r="D61" s="120">
        <v>80</v>
      </c>
      <c r="E61" s="120">
        <v>80</v>
      </c>
      <c r="F61" s="120">
        <v>80</v>
      </c>
      <c r="G61" s="120">
        <v>80</v>
      </c>
      <c r="H61" s="120">
        <v>80</v>
      </c>
      <c r="I61" s="120">
        <v>80</v>
      </c>
      <c r="J61" s="120">
        <v>80</v>
      </c>
      <c r="K61" s="120">
        <v>80</v>
      </c>
      <c r="L61" s="120">
        <v>80</v>
      </c>
      <c r="M61" s="120">
        <v>80</v>
      </c>
      <c r="N61" s="120">
        <v>80</v>
      </c>
      <c r="O61" s="120">
        <v>80</v>
      </c>
      <c r="Q61" s="121"/>
      <c r="R61" s="121"/>
      <c r="S61" s="121"/>
      <c r="T61" s="121"/>
      <c r="U61" s="121"/>
      <c r="V61" s="121"/>
      <c r="W61" s="121"/>
      <c r="X61" s="121"/>
      <c r="Y61" s="121"/>
      <c r="Z61" s="121"/>
    </row>
    <row r="62" spans="1:29" s="48" customFormat="1" ht="15.75" customHeight="1" x14ac:dyDescent="0.25">
      <c r="B62" s="49" t="s">
        <v>59</v>
      </c>
      <c r="C62" s="122">
        <f t="shared" ref="C62:D62" si="16">C52</f>
        <v>2.2400000000000002</v>
      </c>
      <c r="D62" s="122">
        <f t="shared" si="16"/>
        <v>1.58</v>
      </c>
      <c r="E62" s="122">
        <f t="shared" ref="E62:K62" si="17">E52</f>
        <v>2.84</v>
      </c>
      <c r="F62" s="122">
        <f t="shared" si="17"/>
        <v>3</v>
      </c>
      <c r="G62" s="122">
        <f t="shared" si="17"/>
        <v>2.5099999999999998</v>
      </c>
      <c r="H62" s="122">
        <f t="shared" si="17"/>
        <v>4.62</v>
      </c>
      <c r="I62" s="122">
        <f t="shared" si="17"/>
        <v>2.7</v>
      </c>
      <c r="J62" s="122">
        <f t="shared" si="17"/>
        <v>3.31</v>
      </c>
      <c r="K62" s="122">
        <f t="shared" si="17"/>
        <v>2.27</v>
      </c>
      <c r="L62" s="103">
        <f>N52</f>
        <v>4.0199999999999996</v>
      </c>
      <c r="M62" s="103">
        <f>O52</f>
        <v>10.02</v>
      </c>
      <c r="N62" s="103">
        <f>L52</f>
        <v>3</v>
      </c>
      <c r="O62" s="103">
        <f>M52</f>
        <v>2.33</v>
      </c>
      <c r="Q62" s="123"/>
      <c r="R62" s="123"/>
      <c r="S62" s="123"/>
      <c r="T62" s="123"/>
      <c r="U62" s="123"/>
      <c r="V62" s="123"/>
      <c r="W62" s="123"/>
      <c r="X62" s="123"/>
      <c r="Y62" s="123"/>
      <c r="Z62" s="123"/>
    </row>
    <row r="63" spans="1:29" s="48" customFormat="1" ht="15.75" customHeight="1" x14ac:dyDescent="0.25">
      <c r="B63" s="124" t="s">
        <v>60</v>
      </c>
      <c r="C63" s="120">
        <f>(C62*C60)/C61</f>
        <v>9.968</v>
      </c>
      <c r="D63" s="120">
        <f t="shared" ref="D63" si="18">(D62*D60)/D61</f>
        <v>8.2752499999999998</v>
      </c>
      <c r="E63" s="120">
        <f t="shared" ref="E63" si="19">(E62*E60)/E61</f>
        <v>9.1234999999999999</v>
      </c>
      <c r="F63" s="120">
        <f t="shared" ref="F63:M63" si="20">(F62*F60)/F61</f>
        <v>8.8874999999999993</v>
      </c>
      <c r="G63" s="120">
        <f t="shared" si="20"/>
        <v>9.7576249999999991</v>
      </c>
      <c r="H63" s="120">
        <f t="shared" si="20"/>
        <v>9.5865000000000009</v>
      </c>
      <c r="I63" s="120">
        <f t="shared" si="20"/>
        <v>6.75</v>
      </c>
      <c r="J63" s="120">
        <f t="shared" si="20"/>
        <v>12.784875</v>
      </c>
      <c r="K63" s="120">
        <f t="shared" si="20"/>
        <v>10.016375</v>
      </c>
      <c r="L63" s="120">
        <f t="shared" si="20"/>
        <v>13.818749999999998</v>
      </c>
      <c r="M63" s="120">
        <f t="shared" si="20"/>
        <v>12.023999999999999</v>
      </c>
      <c r="N63" s="120">
        <f t="shared" ref="N63:O63" si="21">(N62*N60)/N61</f>
        <v>3.5249999999999999</v>
      </c>
      <c r="O63" s="120">
        <f t="shared" si="21"/>
        <v>4.60175</v>
      </c>
      <c r="Q63" s="121"/>
      <c r="R63" s="121"/>
      <c r="S63" s="121"/>
      <c r="T63" s="121"/>
      <c r="U63" s="121"/>
      <c r="V63" s="121"/>
      <c r="W63" s="121"/>
      <c r="X63" s="121"/>
      <c r="Y63" s="121"/>
      <c r="Z63" s="121"/>
    </row>
    <row r="64" spans="1:29" s="48" customFormat="1" ht="15.75" customHeight="1" x14ac:dyDescent="0.25">
      <c r="B64" s="124" t="s">
        <v>61</v>
      </c>
      <c r="C64" s="176">
        <f>AVERAGE(C63:O63)</f>
        <v>9.163009615384615</v>
      </c>
      <c r="D64" s="176"/>
      <c r="E64" s="176"/>
      <c r="F64" s="176"/>
      <c r="G64" s="176"/>
      <c r="H64" s="176"/>
      <c r="I64" s="176"/>
      <c r="J64" s="176"/>
      <c r="K64" s="176"/>
      <c r="L64" s="176"/>
      <c r="M64" s="176"/>
      <c r="N64" s="176"/>
      <c r="O64" s="176"/>
      <c r="P64" s="174"/>
      <c r="Q64" s="163"/>
      <c r="R64" s="163"/>
      <c r="S64" s="163"/>
      <c r="T64" s="163"/>
      <c r="U64" s="163"/>
      <c r="V64" s="163"/>
      <c r="W64" s="163"/>
      <c r="X64" s="163"/>
      <c r="Y64" s="163"/>
      <c r="Z64" s="163"/>
    </row>
    <row r="65" spans="1:27" s="48" customFormat="1" ht="15.75" customHeight="1" x14ac:dyDescent="0.25">
      <c r="B65" s="125"/>
      <c r="C65" s="101"/>
      <c r="D65" s="101"/>
      <c r="E65" s="101"/>
      <c r="F65" s="101"/>
      <c r="G65" s="101"/>
      <c r="H65" s="101"/>
      <c r="I65" s="101"/>
      <c r="J65" s="101"/>
      <c r="K65" s="101"/>
      <c r="L65" s="101"/>
      <c r="M65" s="101"/>
      <c r="N65" s="101"/>
      <c r="O65" s="101"/>
      <c r="P65" s="126"/>
      <c r="Q65" s="126"/>
      <c r="R65" s="126"/>
      <c r="S65" s="126"/>
      <c r="T65" s="126"/>
      <c r="U65" s="126"/>
      <c r="V65" s="126"/>
      <c r="W65" s="126"/>
      <c r="X65" s="126"/>
      <c r="Y65" s="126"/>
      <c r="Z65" s="126"/>
    </row>
    <row r="66" spans="1:27" s="48" customFormat="1" ht="18.75" customHeight="1" x14ac:dyDescent="0.3">
      <c r="B66" s="214" t="s">
        <v>95</v>
      </c>
      <c r="C66" s="214"/>
      <c r="D66" s="214"/>
      <c r="E66" s="214"/>
      <c r="F66" s="214"/>
      <c r="G66" s="214"/>
      <c r="H66" s="214"/>
      <c r="I66" s="131">
        <f>AVERAGE(F63,H63,I63,M63,N63,O63)</f>
        <v>7.5624583333333328</v>
      </c>
      <c r="J66" s="101"/>
      <c r="K66" s="101"/>
      <c r="L66" s="101"/>
      <c r="M66" s="101"/>
      <c r="N66" s="101"/>
      <c r="O66" s="101"/>
      <c r="P66" s="126"/>
      <c r="Q66" s="126"/>
      <c r="R66" s="126"/>
      <c r="S66" s="126"/>
      <c r="T66" s="126"/>
      <c r="U66" s="126"/>
      <c r="V66" s="126"/>
      <c r="W66" s="126"/>
      <c r="X66" s="126"/>
      <c r="Y66" s="126"/>
      <c r="Z66" s="126"/>
    </row>
    <row r="67" spans="1:27" s="48" customFormat="1" ht="21.75" customHeight="1" x14ac:dyDescent="0.3">
      <c r="B67" s="214" t="s">
        <v>96</v>
      </c>
      <c r="C67" s="214"/>
      <c r="D67" s="214"/>
      <c r="E67" s="214"/>
      <c r="F67" s="214"/>
      <c r="G67" s="214"/>
      <c r="H67" s="214"/>
      <c r="I67" s="129">
        <f>AVERAGE(C63,D63,E63,G63,J63,K63,L63)</f>
        <v>10.534910714285713</v>
      </c>
      <c r="J67" s="101"/>
      <c r="K67" s="101"/>
      <c r="L67" s="101"/>
      <c r="M67" s="101"/>
      <c r="N67" s="101"/>
      <c r="O67" s="101"/>
      <c r="P67" s="126"/>
      <c r="Q67" s="126"/>
      <c r="R67" s="126"/>
      <c r="S67" s="126"/>
      <c r="T67" s="126"/>
      <c r="U67" s="126"/>
      <c r="V67" s="126"/>
      <c r="W67" s="126"/>
      <c r="X67" s="126"/>
      <c r="Y67" s="126"/>
      <c r="Z67" s="126"/>
    </row>
    <row r="68" spans="1:27" s="48" customFormat="1" ht="15.75" customHeight="1" x14ac:dyDescent="0.25">
      <c r="B68" s="125"/>
      <c r="C68" s="101"/>
      <c r="D68" s="101"/>
      <c r="E68" s="101"/>
      <c r="F68" s="101"/>
      <c r="G68" s="101"/>
      <c r="H68" s="101"/>
      <c r="I68" s="101"/>
      <c r="J68" s="101"/>
      <c r="K68" s="101"/>
      <c r="L68" s="101"/>
      <c r="M68" s="101"/>
      <c r="N68" s="101"/>
      <c r="O68" s="101"/>
      <c r="P68" s="126"/>
      <c r="Q68" s="126"/>
      <c r="R68" s="126"/>
      <c r="S68" s="126"/>
      <c r="T68" s="126"/>
      <c r="U68" s="126"/>
      <c r="V68" s="126"/>
      <c r="W68" s="126"/>
      <c r="X68" s="126"/>
      <c r="Y68" s="126"/>
      <c r="Z68" s="126"/>
    </row>
    <row r="69" spans="1:27" s="48" customFormat="1" ht="15.75" customHeight="1" x14ac:dyDescent="0.3">
      <c r="A69" s="162" t="s">
        <v>99</v>
      </c>
      <c r="B69" s="162"/>
      <c r="C69" s="162"/>
      <c r="D69" s="101"/>
      <c r="E69" s="101"/>
      <c r="F69" s="101"/>
      <c r="G69" s="101"/>
      <c r="H69" s="101"/>
      <c r="I69" s="101"/>
      <c r="J69" s="101"/>
      <c r="K69" s="101"/>
      <c r="L69" s="101"/>
      <c r="M69" s="101"/>
      <c r="N69" s="101"/>
      <c r="O69" s="101"/>
      <c r="P69" s="126"/>
      <c r="Q69" s="126"/>
      <c r="R69" s="126"/>
      <c r="S69" s="126"/>
      <c r="T69" s="126"/>
      <c r="U69" s="126"/>
      <c r="V69" s="126"/>
      <c r="W69" s="126"/>
      <c r="X69" s="126"/>
      <c r="Y69" s="126"/>
      <c r="Z69" s="126"/>
    </row>
    <row r="70" spans="1:27" s="48" customFormat="1" ht="15.75" customHeight="1" x14ac:dyDescent="0.25">
      <c r="B70" s="125"/>
      <c r="C70" s="101"/>
      <c r="D70" s="101"/>
      <c r="E70" s="101"/>
      <c r="F70" s="101"/>
      <c r="G70" s="101"/>
      <c r="H70" s="101"/>
      <c r="I70" s="101"/>
      <c r="J70" s="101"/>
      <c r="K70" s="101"/>
      <c r="L70" s="101"/>
      <c r="M70" s="101"/>
      <c r="N70" s="101"/>
      <c r="O70" s="101"/>
      <c r="P70" s="126"/>
      <c r="Q70" s="126"/>
      <c r="R70" s="126"/>
      <c r="S70" s="126"/>
      <c r="T70" s="126"/>
      <c r="U70" s="126"/>
      <c r="V70" s="126"/>
      <c r="W70" s="126"/>
      <c r="X70" s="126"/>
      <c r="Y70" s="126"/>
      <c r="Z70" s="126"/>
    </row>
    <row r="71" spans="1:27" s="48" customFormat="1" ht="41.25" customHeight="1" x14ac:dyDescent="0.25">
      <c r="B71" s="115" t="s">
        <v>43</v>
      </c>
      <c r="C71" s="115" t="s">
        <v>2</v>
      </c>
      <c r="D71" s="115" t="s">
        <v>3</v>
      </c>
      <c r="E71" s="115" t="s">
        <v>4</v>
      </c>
      <c r="F71" s="115" t="s">
        <v>5</v>
      </c>
      <c r="G71" s="115" t="s">
        <v>6</v>
      </c>
      <c r="H71" s="115" t="s">
        <v>7</v>
      </c>
      <c r="I71" s="115" t="s">
        <v>8</v>
      </c>
      <c r="J71" s="115" t="s">
        <v>8</v>
      </c>
      <c r="K71" s="115" t="s">
        <v>9</v>
      </c>
      <c r="L71" s="115" t="s">
        <v>10</v>
      </c>
      <c r="M71" s="127" t="s">
        <v>11</v>
      </c>
      <c r="N71" s="127" t="s">
        <v>12</v>
      </c>
      <c r="O71" s="127" t="s">
        <v>12</v>
      </c>
    </row>
    <row r="72" spans="1:27" s="48" customFormat="1" ht="15.75" customHeight="1" x14ac:dyDescent="0.25">
      <c r="B72" s="118" t="s">
        <v>85</v>
      </c>
      <c r="C72" s="166">
        <v>72.7</v>
      </c>
      <c r="D72" s="166">
        <v>64.3</v>
      </c>
      <c r="E72" s="166">
        <v>73.400000000000006</v>
      </c>
      <c r="F72" s="166">
        <v>47.8</v>
      </c>
      <c r="G72" s="166">
        <v>72.900000000000006</v>
      </c>
      <c r="H72" s="167">
        <v>69</v>
      </c>
      <c r="I72" s="166">
        <v>75.5</v>
      </c>
      <c r="J72" s="166">
        <v>196</v>
      </c>
      <c r="K72" s="166">
        <v>76.5</v>
      </c>
      <c r="L72" s="166">
        <v>71.900000000000006</v>
      </c>
      <c r="M72" s="166">
        <v>74.2</v>
      </c>
      <c r="N72" s="166">
        <v>90.3</v>
      </c>
      <c r="O72" s="166">
        <v>139.69999999999999</v>
      </c>
    </row>
    <row r="73" spans="1:27" s="48" customFormat="1" ht="15.75" customHeight="1" x14ac:dyDescent="0.25">
      <c r="B73" s="119" t="s">
        <v>44</v>
      </c>
      <c r="C73" s="120">
        <v>50</v>
      </c>
      <c r="D73" s="120">
        <v>50</v>
      </c>
      <c r="E73" s="120">
        <v>50</v>
      </c>
      <c r="F73" s="120">
        <v>50</v>
      </c>
      <c r="G73" s="120">
        <v>50</v>
      </c>
      <c r="H73" s="120">
        <v>50</v>
      </c>
      <c r="I73" s="120">
        <v>50</v>
      </c>
      <c r="J73" s="120">
        <v>50</v>
      </c>
      <c r="K73" s="120">
        <v>50</v>
      </c>
      <c r="L73" s="120">
        <v>50</v>
      </c>
      <c r="M73" s="120">
        <v>50</v>
      </c>
      <c r="N73" s="120">
        <v>50</v>
      </c>
      <c r="O73" s="120">
        <v>50</v>
      </c>
    </row>
    <row r="74" spans="1:27" s="48" customFormat="1" ht="15.75" customHeight="1" x14ac:dyDescent="0.25">
      <c r="B74" s="49" t="s">
        <v>59</v>
      </c>
      <c r="C74" s="128">
        <f t="shared" ref="C74:I74" si="22">P52</f>
        <v>5.84</v>
      </c>
      <c r="D74" s="128">
        <f t="shared" si="22"/>
        <v>4.8600000000000003</v>
      </c>
      <c r="E74" s="128">
        <f t="shared" si="22"/>
        <v>6.57</v>
      </c>
      <c r="F74" s="128">
        <f t="shared" si="22"/>
        <v>8.44</v>
      </c>
      <c r="G74" s="128">
        <f t="shared" si="22"/>
        <v>6.39</v>
      </c>
      <c r="H74" s="128">
        <f t="shared" si="22"/>
        <v>4.0599999999999996</v>
      </c>
      <c r="I74" s="128">
        <f t="shared" si="22"/>
        <v>5.46</v>
      </c>
      <c r="J74" s="128">
        <f>I74</f>
        <v>5.46</v>
      </c>
      <c r="K74" s="128">
        <f>W52</f>
        <v>4.08</v>
      </c>
      <c r="L74" s="128">
        <f>X52</f>
        <v>4.07</v>
      </c>
      <c r="M74" s="128">
        <f>Y52</f>
        <v>6.91</v>
      </c>
      <c r="N74" s="128">
        <f>Z52</f>
        <v>4.16</v>
      </c>
      <c r="O74" s="128">
        <f>N74</f>
        <v>4.16</v>
      </c>
    </row>
    <row r="75" spans="1:27" s="48" customFormat="1" ht="15.75" customHeight="1" x14ac:dyDescent="0.25">
      <c r="B75" s="124" t="s">
        <v>60</v>
      </c>
      <c r="C75" s="120">
        <f t="shared" ref="C75:I75" si="23">(C74*C72)/C73</f>
        <v>8.4913600000000002</v>
      </c>
      <c r="D75" s="120">
        <f t="shared" si="23"/>
        <v>6.2499599999999997</v>
      </c>
      <c r="E75" s="120">
        <f t="shared" si="23"/>
        <v>9.6447600000000016</v>
      </c>
      <c r="F75" s="120">
        <f t="shared" si="23"/>
        <v>8.0686399999999985</v>
      </c>
      <c r="G75" s="120">
        <f t="shared" si="23"/>
        <v>9.3166200000000003</v>
      </c>
      <c r="H75" s="120">
        <f t="shared" si="23"/>
        <v>5.6027999999999993</v>
      </c>
      <c r="I75" s="120">
        <f t="shared" si="23"/>
        <v>8.2446000000000002</v>
      </c>
      <c r="J75" s="120">
        <f t="shared" ref="J75" si="24">(J74*J72)/J73</f>
        <v>21.403200000000002</v>
      </c>
      <c r="K75" s="120">
        <f>(K74*K72)/K73</f>
        <v>6.2423999999999999</v>
      </c>
      <c r="L75" s="120">
        <f>(L74*L72)/L73</f>
        <v>5.8526600000000011</v>
      </c>
      <c r="M75" s="120">
        <f>(M74*M72)/M73</f>
        <v>10.254439999999999</v>
      </c>
      <c r="N75" s="120">
        <f>(N74*N72)/N73</f>
        <v>7.5129600000000005</v>
      </c>
      <c r="O75" s="120">
        <f>(O74*O72)/O73</f>
        <v>11.623039999999998</v>
      </c>
    </row>
    <row r="76" spans="1:27" s="48" customFormat="1" ht="15.75" customHeight="1" x14ac:dyDescent="0.25">
      <c r="B76" s="124" t="s">
        <v>61</v>
      </c>
      <c r="C76" s="176">
        <f>AVERAGE(C75:O75)</f>
        <v>9.115956923076924</v>
      </c>
      <c r="D76" s="176"/>
      <c r="E76" s="176"/>
      <c r="F76" s="176"/>
      <c r="G76" s="176"/>
      <c r="H76" s="176"/>
      <c r="I76" s="176"/>
      <c r="J76" s="176"/>
      <c r="K76" s="176"/>
      <c r="L76" s="176"/>
      <c r="M76" s="176"/>
      <c r="N76" s="176"/>
      <c r="O76" s="176"/>
      <c r="P76" s="215"/>
      <c r="Q76" s="215"/>
      <c r="R76" s="215"/>
      <c r="S76" s="215"/>
      <c r="T76" s="215"/>
      <c r="U76" s="215"/>
      <c r="V76" s="215"/>
      <c r="W76" s="215"/>
      <c r="X76" s="215"/>
      <c r="Y76" s="215"/>
      <c r="Z76" s="215"/>
    </row>
    <row r="77" spans="1:27" s="2" customFormat="1" ht="15.75" customHeight="1" x14ac:dyDescent="0.25">
      <c r="A77" s="48"/>
      <c r="B77" s="161" t="s">
        <v>98</v>
      </c>
      <c r="C77" s="101"/>
      <c r="D77" s="101"/>
      <c r="E77" s="101"/>
      <c r="F77" s="101"/>
      <c r="G77" s="101"/>
      <c r="H77" s="101"/>
      <c r="I77" s="101"/>
      <c r="J77" s="101"/>
      <c r="K77" s="101"/>
      <c r="L77" s="101"/>
      <c r="M77" s="101"/>
      <c r="N77" s="101"/>
      <c r="O77" s="101"/>
      <c r="P77" s="102"/>
      <c r="Q77" s="102"/>
      <c r="R77" s="102"/>
      <c r="S77" s="102"/>
      <c r="T77" s="102"/>
      <c r="U77" s="102"/>
      <c r="V77" s="102"/>
      <c r="W77" s="102"/>
      <c r="X77" s="102"/>
      <c r="Y77" s="102"/>
      <c r="Z77" s="102"/>
    </row>
    <row r="78" spans="1:27" s="2" customFormat="1" ht="15.75" customHeight="1" x14ac:dyDescent="0.25">
      <c r="A78" s="48"/>
      <c r="B78" s="161"/>
      <c r="C78" s="101"/>
      <c r="D78" s="101"/>
      <c r="E78" s="101"/>
      <c r="F78" s="101"/>
      <c r="G78" s="101"/>
      <c r="H78" s="101"/>
      <c r="I78" s="101"/>
      <c r="J78" s="101"/>
      <c r="K78" s="101"/>
      <c r="L78" s="101"/>
      <c r="M78" s="101"/>
      <c r="N78" s="101"/>
      <c r="O78" s="101"/>
      <c r="P78" s="105"/>
      <c r="Q78" s="105"/>
      <c r="R78" s="105"/>
      <c r="S78" s="105"/>
      <c r="T78" s="105"/>
      <c r="U78" s="105"/>
      <c r="V78" s="105"/>
      <c r="W78" s="105"/>
      <c r="X78" s="105"/>
      <c r="Y78" s="105"/>
      <c r="Z78" s="105"/>
    </row>
    <row r="79" spans="1:27" s="2" customFormat="1" ht="23.25" customHeight="1" x14ac:dyDescent="0.3">
      <c r="A79" s="48"/>
      <c r="B79" s="214" t="s">
        <v>100</v>
      </c>
      <c r="C79" s="214"/>
      <c r="D79" s="214"/>
      <c r="E79" s="214"/>
      <c r="F79" s="214"/>
      <c r="G79" s="214"/>
      <c r="H79" s="214"/>
      <c r="I79" s="130">
        <f>AVERAGE(D75,F75,H75)</f>
        <v>6.6404666666666659</v>
      </c>
      <c r="R79" s="113"/>
      <c r="S79" s="216"/>
      <c r="T79" s="216"/>
      <c r="U79" s="216"/>
      <c r="V79" s="216"/>
      <c r="W79" s="216"/>
      <c r="X79" s="216"/>
      <c r="Y79" s="216"/>
      <c r="Z79" s="113"/>
      <c r="AA79" s="98"/>
    </row>
    <row r="80" spans="1:27" s="2" customFormat="1" ht="21.75" customHeight="1" x14ac:dyDescent="0.3">
      <c r="A80" s="48"/>
      <c r="B80" s="214" t="s">
        <v>101</v>
      </c>
      <c r="C80" s="214"/>
      <c r="D80" s="214"/>
      <c r="E80" s="214"/>
      <c r="F80" s="214"/>
      <c r="G80" s="214"/>
      <c r="H80" s="214"/>
      <c r="I80" s="132">
        <f>AVERAGE(C75,E75,G75,I75,J75,K75,L75,M75,N75,O75)</f>
        <v>9.8586040000000033</v>
      </c>
      <c r="J80" s="114"/>
      <c r="K80" s="212"/>
      <c r="L80" s="212"/>
      <c r="M80" s="212"/>
      <c r="N80" s="212"/>
      <c r="O80" s="212"/>
      <c r="P80" s="212"/>
      <c r="Q80" s="212"/>
      <c r="R80" s="114"/>
      <c r="S80" s="213"/>
      <c r="T80" s="213"/>
      <c r="U80" s="213"/>
      <c r="V80" s="213"/>
      <c r="W80" s="213"/>
      <c r="X80" s="213"/>
      <c r="Y80" s="213"/>
      <c r="Z80" s="114"/>
      <c r="AA80" s="98"/>
    </row>
    <row r="81" spans="1:27" s="2" customFormat="1" ht="21.75" customHeight="1" x14ac:dyDescent="0.3">
      <c r="A81" s="48"/>
      <c r="B81" s="138"/>
      <c r="C81" s="138"/>
      <c r="D81" s="138"/>
      <c r="E81" s="138"/>
      <c r="F81" s="138"/>
      <c r="G81" s="138"/>
      <c r="H81" s="138"/>
      <c r="I81" s="132"/>
      <c r="J81" s="114"/>
      <c r="K81" s="139"/>
      <c r="L81" s="139"/>
      <c r="M81" s="139"/>
      <c r="N81" s="139"/>
      <c r="O81" s="139"/>
      <c r="P81" s="139"/>
      <c r="Q81" s="139"/>
      <c r="R81" s="114"/>
      <c r="S81" s="140"/>
      <c r="T81" s="140"/>
      <c r="U81" s="140"/>
      <c r="V81" s="140"/>
      <c r="W81" s="140"/>
      <c r="X81" s="140"/>
      <c r="Y81" s="140"/>
      <c r="Z81" s="114"/>
      <c r="AA81" s="98"/>
    </row>
    <row r="82" spans="1:27" s="2" customFormat="1" ht="15.75" customHeight="1" x14ac:dyDescent="0.25">
      <c r="A82" s="48"/>
      <c r="B82" s="50"/>
      <c r="C82" s="101"/>
      <c r="D82" s="101"/>
      <c r="E82" s="101"/>
      <c r="F82" s="101"/>
      <c r="G82" s="101"/>
      <c r="H82" s="101"/>
      <c r="I82" s="101"/>
      <c r="J82" s="101"/>
      <c r="K82" s="101"/>
      <c r="L82" s="101"/>
      <c r="M82" s="101"/>
      <c r="N82" s="101"/>
      <c r="O82" s="101"/>
      <c r="P82" s="100"/>
      <c r="Q82" s="100"/>
      <c r="R82" s="100"/>
      <c r="S82" s="100"/>
      <c r="T82" s="100"/>
      <c r="U82" s="100"/>
      <c r="V82" s="100"/>
      <c r="W82" s="100"/>
      <c r="X82" s="100"/>
      <c r="Y82" s="100"/>
      <c r="Z82" s="100"/>
    </row>
    <row r="83" spans="1:27" s="2" customFormat="1" ht="15.75" customHeight="1" x14ac:dyDescent="0.25">
      <c r="A83" s="48"/>
      <c r="B83" s="50"/>
      <c r="C83" s="101"/>
      <c r="D83" s="101"/>
      <c r="E83" s="101"/>
      <c r="F83" s="101"/>
      <c r="G83" s="101"/>
      <c r="H83" s="101"/>
      <c r="I83" s="101"/>
      <c r="J83" s="101"/>
      <c r="K83" s="101"/>
      <c r="L83" s="101"/>
      <c r="M83" s="101"/>
      <c r="N83" s="101"/>
      <c r="O83" s="101"/>
      <c r="P83" s="102"/>
      <c r="Q83" s="102"/>
      <c r="R83" s="102"/>
      <c r="S83" s="102"/>
      <c r="T83" s="102"/>
      <c r="U83" s="102"/>
      <c r="V83" s="102"/>
      <c r="W83" s="102"/>
      <c r="X83" s="102"/>
      <c r="Y83" s="102"/>
      <c r="Z83" s="102"/>
    </row>
    <row r="84" spans="1:27" s="2" customFormat="1" ht="19.5" customHeight="1" x14ac:dyDescent="0.3">
      <c r="A84" s="177" t="s">
        <v>89</v>
      </c>
      <c r="B84" s="177"/>
      <c r="C84" s="177"/>
      <c r="D84" s="48"/>
      <c r="E84" s="48"/>
      <c r="I84" s="101"/>
      <c r="J84" s="101"/>
      <c r="K84" s="101"/>
      <c r="L84" s="101"/>
      <c r="M84" s="101"/>
      <c r="N84" s="101"/>
      <c r="O84" s="101"/>
      <c r="P84" s="102"/>
      <c r="Q84" s="102"/>
      <c r="R84" s="102"/>
      <c r="S84" s="102"/>
      <c r="T84" s="102"/>
      <c r="U84" s="102"/>
      <c r="V84" s="102"/>
      <c r="W84" s="102"/>
      <c r="X84" s="102"/>
      <c r="Y84" s="102"/>
      <c r="Z84" s="102"/>
    </row>
    <row r="85" spans="1:27" s="2" customFormat="1" ht="15.75" customHeight="1" x14ac:dyDescent="0.25">
      <c r="A85" s="48"/>
      <c r="B85" s="48"/>
      <c r="C85" s="48"/>
      <c r="D85" s="1"/>
      <c r="E85" s="1"/>
      <c r="F85" s="1"/>
      <c r="G85" s="1"/>
      <c r="H85" s="1"/>
      <c r="I85" s="101"/>
      <c r="J85" s="101"/>
      <c r="K85" s="101"/>
      <c r="L85" s="101"/>
      <c r="M85" s="101"/>
      <c r="N85" s="101"/>
      <c r="O85" s="101"/>
      <c r="P85" s="102"/>
      <c r="Q85" s="102"/>
      <c r="R85" s="102"/>
      <c r="S85" s="102"/>
      <c r="T85" s="102"/>
      <c r="U85" s="102"/>
      <c r="V85" s="102"/>
      <c r="W85" s="102"/>
      <c r="X85" s="102"/>
      <c r="Y85" s="102"/>
      <c r="Z85" s="102"/>
    </row>
    <row r="86" spans="1:27" s="148" customFormat="1" ht="18.75" customHeight="1" x14ac:dyDescent="0.3">
      <c r="A86" s="217" t="s">
        <v>90</v>
      </c>
      <c r="B86" s="217"/>
      <c r="C86" s="217"/>
      <c r="D86" s="217"/>
      <c r="E86" s="217"/>
      <c r="F86" s="144"/>
      <c r="G86" s="145"/>
      <c r="H86" s="145"/>
      <c r="I86" s="146"/>
      <c r="J86" s="146"/>
      <c r="K86" s="146"/>
      <c r="L86" s="146"/>
      <c r="M86" s="146"/>
      <c r="N86" s="146"/>
      <c r="O86" s="146"/>
      <c r="P86" s="147"/>
      <c r="Q86" s="147"/>
      <c r="R86" s="147"/>
      <c r="S86" s="147"/>
      <c r="T86" s="147"/>
      <c r="U86" s="147"/>
      <c r="V86" s="147"/>
      <c r="W86" s="147"/>
      <c r="X86" s="147"/>
      <c r="Y86" s="147"/>
      <c r="Z86" s="147"/>
    </row>
    <row r="87" spans="1:27" s="148" customFormat="1" ht="15.75" customHeight="1" x14ac:dyDescent="0.3">
      <c r="A87" s="149"/>
      <c r="B87" s="149"/>
      <c r="C87" s="149"/>
      <c r="D87" s="149"/>
      <c r="E87" s="149"/>
      <c r="F87" s="144"/>
      <c r="G87" s="145"/>
      <c r="H87" s="145"/>
      <c r="I87" s="146"/>
      <c r="J87" s="146"/>
      <c r="K87" s="146"/>
      <c r="L87" s="146"/>
      <c r="M87" s="146"/>
      <c r="N87" s="146"/>
      <c r="O87" s="146"/>
      <c r="P87" s="147"/>
      <c r="Q87" s="147"/>
      <c r="R87" s="147"/>
      <c r="S87" s="147"/>
      <c r="T87" s="147"/>
      <c r="U87" s="147"/>
      <c r="V87" s="147"/>
      <c r="W87" s="147"/>
      <c r="X87" s="147"/>
      <c r="Y87" s="147"/>
      <c r="Z87" s="147"/>
    </row>
    <row r="88" spans="1:27" s="148" customFormat="1" ht="48.75" customHeight="1" x14ac:dyDescent="0.25">
      <c r="A88" s="150"/>
      <c r="B88" s="159" t="s">
        <v>43</v>
      </c>
      <c r="C88" s="115" t="s">
        <v>62</v>
      </c>
      <c r="D88" s="115" t="s">
        <v>87</v>
      </c>
      <c r="E88" s="116"/>
      <c r="F88" s="116"/>
      <c r="G88" s="145"/>
      <c r="H88" s="145"/>
      <c r="I88" s="146"/>
      <c r="J88" s="146"/>
      <c r="K88" s="146"/>
      <c r="L88" s="146"/>
      <c r="M88" s="146"/>
      <c r="N88" s="146"/>
      <c r="O88" s="146"/>
      <c r="P88" s="147"/>
      <c r="Q88" s="147"/>
      <c r="R88" s="147"/>
      <c r="S88" s="147"/>
      <c r="T88" s="147"/>
      <c r="U88" s="147"/>
      <c r="V88" s="147"/>
      <c r="W88" s="147"/>
      <c r="X88" s="147"/>
      <c r="Y88" s="147"/>
      <c r="Z88" s="147"/>
    </row>
    <row r="89" spans="1:27" s="148" customFormat="1" ht="15.75" customHeight="1" x14ac:dyDescent="0.25">
      <c r="A89" s="150"/>
      <c r="B89" s="153" t="s">
        <v>92</v>
      </c>
      <c r="C89" s="142">
        <v>290</v>
      </c>
      <c r="D89" s="142">
        <v>350</v>
      </c>
      <c r="E89" s="168"/>
      <c r="F89" s="168"/>
      <c r="G89" s="145"/>
      <c r="H89" s="145"/>
      <c r="I89" s="146"/>
      <c r="J89" s="146"/>
      <c r="K89" s="146"/>
      <c r="L89" s="146"/>
      <c r="M89" s="146"/>
      <c r="N89" s="146"/>
      <c r="O89" s="146"/>
      <c r="P89" s="147"/>
      <c r="Q89" s="147"/>
      <c r="R89" s="147"/>
      <c r="S89" s="147"/>
      <c r="T89" s="147"/>
      <c r="U89" s="147"/>
      <c r="V89" s="147"/>
      <c r="W89" s="147"/>
      <c r="X89" s="147"/>
      <c r="Y89" s="147"/>
      <c r="Z89" s="147"/>
    </row>
    <row r="90" spans="1:27" s="148" customFormat="1" ht="15.75" customHeight="1" x14ac:dyDescent="0.25">
      <c r="A90" s="150"/>
      <c r="B90" s="151" t="s">
        <v>44</v>
      </c>
      <c r="C90" s="142">
        <v>80</v>
      </c>
      <c r="D90" s="142">
        <v>80</v>
      </c>
      <c r="E90" s="168"/>
      <c r="F90" s="168"/>
      <c r="G90" s="145"/>
      <c r="H90" s="145"/>
      <c r="I90" s="146"/>
      <c r="J90" s="146"/>
      <c r="K90" s="146"/>
      <c r="L90" s="146"/>
      <c r="M90" s="146"/>
      <c r="N90" s="146"/>
      <c r="O90" s="146"/>
      <c r="P90" s="147"/>
      <c r="Q90" s="147"/>
      <c r="R90" s="147"/>
      <c r="S90" s="147"/>
      <c r="T90" s="147"/>
      <c r="U90" s="147"/>
      <c r="V90" s="147"/>
      <c r="W90" s="147"/>
      <c r="X90" s="147"/>
      <c r="Y90" s="147"/>
      <c r="Z90" s="147"/>
    </row>
    <row r="91" spans="1:27" s="148" customFormat="1" ht="15.75" customHeight="1" x14ac:dyDescent="0.25">
      <c r="A91" s="150"/>
      <c r="B91" s="151" t="s">
        <v>93</v>
      </c>
      <c r="C91" s="143">
        <f>F52</f>
        <v>3</v>
      </c>
      <c r="D91" s="143">
        <f>J52</f>
        <v>3.31</v>
      </c>
      <c r="E91" s="169"/>
      <c r="F91" s="169"/>
      <c r="G91" s="145"/>
      <c r="H91" s="145"/>
      <c r="I91" s="146"/>
      <c r="J91" s="146"/>
      <c r="K91" s="146"/>
      <c r="L91" s="146"/>
      <c r="M91" s="146"/>
      <c r="N91" s="146"/>
      <c r="O91" s="146"/>
      <c r="P91" s="147"/>
      <c r="Q91" s="147"/>
      <c r="R91" s="147"/>
      <c r="S91" s="147"/>
      <c r="T91" s="147"/>
      <c r="U91" s="147"/>
      <c r="V91" s="147"/>
      <c r="W91" s="147"/>
      <c r="X91" s="147"/>
      <c r="Y91" s="147"/>
      <c r="Z91" s="147"/>
    </row>
    <row r="92" spans="1:27" s="148" customFormat="1" ht="15.75" customHeight="1" x14ac:dyDescent="0.25">
      <c r="A92" s="150"/>
      <c r="B92" s="154" t="s">
        <v>60</v>
      </c>
      <c r="C92" s="141">
        <f>ROUND(C91*C89/C90,2)</f>
        <v>10.88</v>
      </c>
      <c r="D92" s="141">
        <f>ROUND(D91*D89/D90,2)</f>
        <v>14.48</v>
      </c>
      <c r="E92" s="168"/>
      <c r="F92" s="168"/>
      <c r="G92" s="145"/>
      <c r="H92" s="145"/>
      <c r="I92" s="170"/>
      <c r="J92" s="146"/>
      <c r="K92" s="146"/>
      <c r="L92" s="146"/>
      <c r="M92" s="146"/>
      <c r="N92" s="146"/>
      <c r="O92" s="146"/>
      <c r="P92" s="147"/>
      <c r="Q92" s="147"/>
      <c r="R92" s="147"/>
      <c r="S92" s="147"/>
      <c r="T92" s="147"/>
      <c r="U92" s="147"/>
      <c r="V92" s="147"/>
      <c r="W92" s="147"/>
      <c r="X92" s="147"/>
      <c r="Y92" s="147"/>
      <c r="Z92" s="147"/>
    </row>
    <row r="93" spans="1:27" s="148" customFormat="1" ht="15.75" customHeight="1" x14ac:dyDescent="0.3">
      <c r="A93" s="150"/>
      <c r="B93" s="154" t="s">
        <v>61</v>
      </c>
      <c r="C93" s="221">
        <f>AVERAGE(C92:D92)</f>
        <v>12.68</v>
      </c>
      <c r="D93" s="221"/>
      <c r="E93" s="172"/>
      <c r="F93" s="144"/>
      <c r="G93" s="145"/>
      <c r="H93" s="145"/>
      <c r="I93" s="170"/>
      <c r="J93" s="146"/>
      <c r="K93" s="146"/>
      <c r="L93" s="146"/>
      <c r="M93" s="146"/>
      <c r="N93" s="146"/>
      <c r="O93" s="146"/>
      <c r="P93" s="147"/>
      <c r="Q93" s="147"/>
      <c r="R93" s="147"/>
      <c r="S93" s="147"/>
      <c r="T93" s="147"/>
      <c r="U93" s="147"/>
      <c r="V93" s="147"/>
      <c r="W93" s="147"/>
      <c r="X93" s="147"/>
      <c r="Y93" s="147"/>
      <c r="Z93" s="147"/>
    </row>
    <row r="94" spans="1:27" s="148" customFormat="1" ht="15.75" customHeight="1" x14ac:dyDescent="0.3">
      <c r="A94" s="150"/>
      <c r="B94" s="155"/>
      <c r="C94" s="156"/>
      <c r="D94" s="156"/>
      <c r="E94" s="152"/>
      <c r="F94" s="144"/>
      <c r="G94" s="145"/>
      <c r="H94" s="145"/>
      <c r="I94" s="170"/>
      <c r="J94" s="146"/>
      <c r="K94" s="146"/>
      <c r="L94" s="146"/>
      <c r="M94" s="146"/>
      <c r="N94" s="146"/>
      <c r="O94" s="146"/>
      <c r="P94" s="147"/>
      <c r="Q94" s="147"/>
      <c r="R94" s="147"/>
      <c r="S94" s="147"/>
      <c r="T94" s="147"/>
      <c r="U94" s="147"/>
      <c r="V94" s="147"/>
      <c r="W94" s="147"/>
      <c r="X94" s="147"/>
      <c r="Y94" s="147"/>
      <c r="Z94" s="147"/>
    </row>
    <row r="95" spans="1:27" s="148" customFormat="1" ht="21.75" customHeight="1" x14ac:dyDescent="0.3">
      <c r="A95" s="150"/>
      <c r="B95" s="214" t="s">
        <v>94</v>
      </c>
      <c r="C95" s="214"/>
      <c r="D95" s="214"/>
      <c r="E95" s="214"/>
      <c r="F95" s="214"/>
      <c r="G95" s="214"/>
      <c r="H95" s="214"/>
      <c r="I95" s="173">
        <f>C93</f>
        <v>12.68</v>
      </c>
      <c r="J95" s="146"/>
      <c r="K95" s="146"/>
      <c r="L95" s="146"/>
      <c r="M95" s="146"/>
      <c r="N95" s="146"/>
      <c r="O95" s="146"/>
      <c r="P95" s="147"/>
      <c r="Q95" s="147"/>
      <c r="R95" s="147"/>
      <c r="S95" s="147"/>
      <c r="T95" s="147"/>
      <c r="U95" s="147"/>
      <c r="V95" s="147"/>
      <c r="W95" s="147"/>
      <c r="X95" s="147"/>
      <c r="Y95" s="147"/>
      <c r="Z95" s="147"/>
    </row>
    <row r="96" spans="1:27" s="148" customFormat="1" ht="15.75" customHeight="1" x14ac:dyDescent="0.3">
      <c r="A96" s="150"/>
      <c r="B96" s="155"/>
      <c r="C96" s="156"/>
      <c r="D96" s="156"/>
      <c r="E96" s="152"/>
      <c r="F96" s="144"/>
      <c r="G96" s="145"/>
      <c r="H96" s="145"/>
      <c r="I96" s="170"/>
      <c r="J96" s="146"/>
      <c r="K96" s="146"/>
      <c r="L96" s="146"/>
      <c r="M96" s="146"/>
      <c r="N96" s="146"/>
      <c r="O96" s="146"/>
      <c r="P96" s="147"/>
      <c r="Q96" s="147"/>
      <c r="R96" s="147"/>
      <c r="S96" s="147"/>
      <c r="T96" s="147"/>
      <c r="U96" s="147"/>
      <c r="V96" s="147"/>
      <c r="W96" s="147"/>
      <c r="X96" s="147"/>
      <c r="Y96" s="147"/>
      <c r="Z96" s="147"/>
    </row>
    <row r="97" spans="1:26" s="148" customFormat="1" ht="15.75" customHeight="1" x14ac:dyDescent="0.3">
      <c r="A97" s="150"/>
      <c r="B97" s="155"/>
      <c r="C97" s="156"/>
      <c r="D97" s="156"/>
      <c r="E97" s="152"/>
      <c r="F97" s="144"/>
      <c r="G97" s="145"/>
      <c r="H97" s="145"/>
      <c r="I97" s="170"/>
      <c r="J97" s="146"/>
      <c r="K97" s="146"/>
      <c r="L97" s="146"/>
      <c r="M97" s="146"/>
      <c r="N97" s="146"/>
      <c r="O97" s="146"/>
      <c r="P97" s="147"/>
      <c r="Q97" s="147"/>
      <c r="R97" s="147"/>
      <c r="S97" s="147"/>
      <c r="T97" s="147"/>
      <c r="U97" s="147"/>
      <c r="V97" s="147"/>
      <c r="W97" s="147"/>
      <c r="X97" s="147"/>
      <c r="Y97" s="147"/>
      <c r="Z97" s="147"/>
    </row>
    <row r="98" spans="1:26" s="148" customFormat="1" ht="20.25" customHeight="1" x14ac:dyDescent="0.3">
      <c r="A98" s="217" t="s">
        <v>91</v>
      </c>
      <c r="B98" s="217"/>
      <c r="C98" s="217"/>
      <c r="D98" s="217"/>
      <c r="E98" s="217"/>
      <c r="F98" s="149"/>
      <c r="G98" s="145"/>
      <c r="H98" s="145"/>
      <c r="I98" s="170"/>
      <c r="J98" s="146"/>
      <c r="K98" s="146"/>
      <c r="L98" s="146"/>
      <c r="M98" s="146"/>
      <c r="N98" s="146"/>
      <c r="O98" s="146"/>
      <c r="P98" s="147"/>
      <c r="Q98" s="147"/>
      <c r="R98" s="147"/>
      <c r="S98" s="147"/>
      <c r="T98" s="147"/>
      <c r="U98" s="147"/>
      <c r="V98" s="147"/>
      <c r="W98" s="147"/>
      <c r="X98" s="147"/>
      <c r="Y98" s="147"/>
      <c r="Z98" s="147"/>
    </row>
    <row r="99" spans="1:26" s="148" customFormat="1" ht="15.75" customHeight="1" x14ac:dyDescent="0.3">
      <c r="A99" s="149"/>
      <c r="B99" s="149"/>
      <c r="C99" s="149"/>
      <c r="D99" s="149"/>
      <c r="E99" s="149"/>
      <c r="F99" s="149"/>
      <c r="G99" s="145"/>
      <c r="H99" s="145"/>
      <c r="I99" s="170"/>
      <c r="J99" s="146"/>
      <c r="K99" s="146"/>
      <c r="L99" s="146"/>
      <c r="M99" s="146"/>
      <c r="N99" s="146"/>
      <c r="O99" s="146"/>
      <c r="P99" s="147"/>
      <c r="Q99" s="147"/>
      <c r="R99" s="147"/>
      <c r="S99" s="147"/>
      <c r="T99" s="147"/>
      <c r="U99" s="147"/>
      <c r="V99" s="147"/>
      <c r="W99" s="147"/>
      <c r="X99" s="147"/>
      <c r="Y99" s="147"/>
      <c r="Z99" s="147"/>
    </row>
    <row r="100" spans="1:26" s="148" customFormat="1" ht="50.25" customHeight="1" x14ac:dyDescent="0.25">
      <c r="A100" s="145"/>
      <c r="B100" s="159" t="s">
        <v>43</v>
      </c>
      <c r="C100" s="115" t="s">
        <v>47</v>
      </c>
      <c r="D100" s="115" t="s">
        <v>63</v>
      </c>
      <c r="E100" s="115" t="s">
        <v>64</v>
      </c>
      <c r="F100" s="115" t="s">
        <v>65</v>
      </c>
      <c r="G100" s="115" t="s">
        <v>88</v>
      </c>
      <c r="H100" s="145"/>
      <c r="I100" s="170"/>
      <c r="J100" s="146"/>
      <c r="K100" s="146"/>
      <c r="L100" s="146"/>
      <c r="M100" s="146"/>
      <c r="N100" s="146"/>
      <c r="O100" s="146"/>
      <c r="P100" s="147"/>
      <c r="Q100" s="147"/>
      <c r="R100" s="147"/>
      <c r="S100" s="147"/>
      <c r="T100" s="147"/>
      <c r="U100" s="147"/>
      <c r="V100" s="147"/>
      <c r="W100" s="147"/>
      <c r="X100" s="147"/>
      <c r="Y100" s="147"/>
      <c r="Z100" s="147"/>
    </row>
    <row r="101" spans="1:26" s="148" customFormat="1" ht="15.75" customHeight="1" x14ac:dyDescent="0.25">
      <c r="A101" s="145"/>
      <c r="B101" s="153" t="s">
        <v>92</v>
      </c>
      <c r="C101" s="142">
        <v>715</v>
      </c>
      <c r="D101" s="142">
        <v>500</v>
      </c>
      <c r="E101" s="142">
        <v>760</v>
      </c>
      <c r="F101" s="142">
        <v>500</v>
      </c>
      <c r="G101" s="142">
        <v>700</v>
      </c>
      <c r="H101" s="145"/>
      <c r="I101" s="170"/>
      <c r="J101" s="146"/>
      <c r="K101" s="146"/>
      <c r="L101" s="146"/>
      <c r="M101" s="146"/>
      <c r="N101" s="146"/>
      <c r="O101" s="146"/>
      <c r="P101" s="147"/>
      <c r="Q101" s="147"/>
      <c r="R101" s="147"/>
      <c r="S101" s="147"/>
      <c r="T101" s="147"/>
      <c r="U101" s="147"/>
      <c r="V101" s="147"/>
      <c r="W101" s="147"/>
      <c r="X101" s="147"/>
      <c r="Y101" s="147"/>
      <c r="Z101" s="147"/>
    </row>
    <row r="102" spans="1:26" s="148" customFormat="1" ht="15.75" customHeight="1" x14ac:dyDescent="0.25">
      <c r="A102" s="145"/>
      <c r="B102" s="151" t="s">
        <v>44</v>
      </c>
      <c r="C102" s="142">
        <v>80</v>
      </c>
      <c r="D102" s="142">
        <v>80</v>
      </c>
      <c r="E102" s="142">
        <v>80</v>
      </c>
      <c r="F102" s="142">
        <v>80</v>
      </c>
      <c r="G102" s="142">
        <v>80</v>
      </c>
      <c r="H102" s="145"/>
      <c r="I102" s="170"/>
      <c r="J102" s="146"/>
      <c r="K102" s="146"/>
      <c r="L102" s="146"/>
      <c r="M102" s="146"/>
      <c r="N102" s="146"/>
      <c r="O102" s="146"/>
      <c r="P102" s="147"/>
      <c r="Q102" s="147"/>
      <c r="R102" s="147"/>
      <c r="S102" s="147"/>
      <c r="T102" s="147"/>
      <c r="U102" s="147"/>
      <c r="V102" s="147"/>
      <c r="W102" s="147"/>
      <c r="X102" s="147"/>
      <c r="Y102" s="147"/>
      <c r="Z102" s="147"/>
    </row>
    <row r="103" spans="1:26" s="148" customFormat="1" ht="15.75" customHeight="1" x14ac:dyDescent="0.25">
      <c r="A103" s="145"/>
      <c r="B103" s="151" t="s">
        <v>93</v>
      </c>
      <c r="C103" s="143">
        <f>C52</f>
        <v>2.2400000000000002</v>
      </c>
      <c r="D103" s="143">
        <f>E52</f>
        <v>2.84</v>
      </c>
      <c r="E103" s="143">
        <f>G52</f>
        <v>2.5099999999999998</v>
      </c>
      <c r="F103" s="143">
        <f>I52</f>
        <v>2.7</v>
      </c>
      <c r="G103" s="143">
        <f>K52</f>
        <v>2.27</v>
      </c>
      <c r="H103" s="145"/>
      <c r="I103" s="170"/>
      <c r="J103" s="146"/>
      <c r="K103" s="146"/>
      <c r="L103" s="146"/>
      <c r="M103" s="146"/>
      <c r="N103" s="146"/>
      <c r="O103" s="146"/>
      <c r="P103" s="147"/>
      <c r="Q103" s="147"/>
      <c r="R103" s="147"/>
      <c r="S103" s="147"/>
      <c r="T103" s="147"/>
      <c r="U103" s="147"/>
      <c r="V103" s="147"/>
      <c r="W103" s="147"/>
      <c r="X103" s="147"/>
      <c r="Y103" s="147"/>
      <c r="Z103" s="147"/>
    </row>
    <row r="104" spans="1:26" s="148" customFormat="1" ht="15.75" customHeight="1" x14ac:dyDescent="0.25">
      <c r="A104" s="145"/>
      <c r="B104" s="157" t="s">
        <v>60</v>
      </c>
      <c r="C104" s="141">
        <f>ROUND(C103*C101/C102,2)</f>
        <v>20.02</v>
      </c>
      <c r="D104" s="141">
        <f t="shared" ref="D104:G104" si="25">ROUND(D103*D101/D102,2)</f>
        <v>17.75</v>
      </c>
      <c r="E104" s="141">
        <f t="shared" si="25"/>
        <v>23.85</v>
      </c>
      <c r="F104" s="141">
        <f t="shared" si="25"/>
        <v>16.88</v>
      </c>
      <c r="G104" s="141">
        <f t="shared" si="25"/>
        <v>19.86</v>
      </c>
      <c r="H104" s="145"/>
      <c r="I104" s="170"/>
      <c r="J104" s="146"/>
      <c r="K104" s="146"/>
      <c r="L104" s="146"/>
      <c r="M104" s="146"/>
      <c r="N104" s="146"/>
      <c r="O104" s="146"/>
      <c r="P104" s="147"/>
      <c r="Q104" s="147"/>
      <c r="R104" s="147"/>
      <c r="S104" s="147"/>
      <c r="T104" s="147"/>
      <c r="U104" s="147"/>
      <c r="V104" s="147"/>
      <c r="W104" s="147"/>
      <c r="X104" s="147"/>
      <c r="Y104" s="147"/>
      <c r="Z104" s="147"/>
    </row>
    <row r="105" spans="1:26" s="148" customFormat="1" ht="15.75" customHeight="1" x14ac:dyDescent="0.25">
      <c r="A105" s="145"/>
      <c r="B105" s="158" t="s">
        <v>61</v>
      </c>
      <c r="C105" s="218">
        <f>AVERAGE(C104:G104)</f>
        <v>19.672000000000001</v>
      </c>
      <c r="D105" s="219"/>
      <c r="E105" s="219"/>
      <c r="F105" s="219"/>
      <c r="G105" s="220"/>
      <c r="H105" s="145"/>
      <c r="I105" s="170"/>
      <c r="J105" s="146"/>
      <c r="K105" s="146"/>
      <c r="L105" s="146"/>
      <c r="M105" s="146"/>
      <c r="N105" s="146"/>
      <c r="O105" s="146"/>
      <c r="P105" s="147"/>
      <c r="Q105" s="147"/>
      <c r="R105" s="147"/>
      <c r="S105" s="147"/>
      <c r="T105" s="147"/>
      <c r="U105" s="147"/>
      <c r="V105" s="147"/>
      <c r="W105" s="147"/>
      <c r="X105" s="147"/>
      <c r="Y105" s="147"/>
      <c r="Z105" s="147"/>
    </row>
    <row r="106" spans="1:26" s="148" customFormat="1" ht="15.75" customHeight="1" x14ac:dyDescent="0.25">
      <c r="A106" s="145"/>
      <c r="B106" s="160"/>
      <c r="C106" s="156"/>
      <c r="D106" s="156"/>
      <c r="E106" s="156"/>
      <c r="F106" s="156"/>
      <c r="G106" s="156"/>
      <c r="H106" s="145"/>
      <c r="I106" s="170"/>
      <c r="J106" s="146"/>
      <c r="K106" s="146"/>
      <c r="L106" s="146"/>
      <c r="M106" s="146"/>
      <c r="N106" s="146"/>
      <c r="O106" s="146"/>
      <c r="P106" s="147"/>
      <c r="Q106" s="147"/>
      <c r="R106" s="147"/>
      <c r="S106" s="147"/>
      <c r="T106" s="147"/>
      <c r="U106" s="147"/>
      <c r="V106" s="147"/>
      <c r="W106" s="147"/>
      <c r="X106" s="147"/>
      <c r="Y106" s="147"/>
      <c r="Z106" s="147"/>
    </row>
    <row r="107" spans="1:26" s="148" customFormat="1" ht="22.5" customHeight="1" x14ac:dyDescent="0.3">
      <c r="A107" s="145"/>
      <c r="B107" s="214" t="s">
        <v>97</v>
      </c>
      <c r="C107" s="214"/>
      <c r="D107" s="214"/>
      <c r="E107" s="214"/>
      <c r="F107" s="214"/>
      <c r="G107" s="214"/>
      <c r="H107" s="214"/>
      <c r="I107" s="173">
        <f>C105</f>
        <v>19.672000000000001</v>
      </c>
      <c r="J107" s="146"/>
      <c r="K107" s="146"/>
      <c r="L107" s="146"/>
      <c r="M107" s="146"/>
      <c r="N107" s="146"/>
      <c r="O107" s="146"/>
      <c r="P107" s="147"/>
      <c r="Q107" s="147"/>
      <c r="R107" s="147"/>
      <c r="S107" s="147"/>
      <c r="T107" s="147"/>
      <c r="U107" s="147"/>
      <c r="V107" s="147"/>
      <c r="W107" s="147"/>
      <c r="X107" s="147"/>
      <c r="Y107" s="147"/>
      <c r="Z107" s="147"/>
    </row>
    <row r="108" spans="1:26" s="148" customFormat="1" ht="15.75" customHeight="1" x14ac:dyDescent="0.25">
      <c r="A108" s="145"/>
      <c r="B108" s="160"/>
      <c r="C108" s="156"/>
      <c r="D108" s="156"/>
      <c r="E108" s="156"/>
      <c r="F108" s="156"/>
      <c r="G108" s="156"/>
      <c r="H108" s="145"/>
      <c r="I108" s="170"/>
      <c r="J108" s="146"/>
      <c r="K108" s="146"/>
      <c r="L108" s="146"/>
      <c r="M108" s="146"/>
      <c r="N108" s="146"/>
      <c r="O108" s="146"/>
      <c r="P108" s="147"/>
      <c r="Q108" s="147"/>
      <c r="R108" s="147"/>
      <c r="S108" s="147"/>
      <c r="T108" s="147"/>
      <c r="U108" s="147"/>
      <c r="V108" s="147"/>
      <c r="W108" s="147"/>
      <c r="X108" s="147"/>
      <c r="Y108" s="147"/>
      <c r="Z108" s="147"/>
    </row>
    <row r="109" spans="1:26" ht="15.75" x14ac:dyDescent="0.25">
      <c r="A109" s="48" t="s">
        <v>81</v>
      </c>
      <c r="B109" s="51" t="s">
        <v>82</v>
      </c>
      <c r="C109" s="16"/>
      <c r="I109" s="171"/>
    </row>
    <row r="110" spans="1:26" ht="20.25" customHeight="1" x14ac:dyDescent="0.25">
      <c r="A110" s="95"/>
      <c r="B110" s="96" t="s">
        <v>84</v>
      </c>
      <c r="C110" s="16"/>
    </row>
    <row r="111" spans="1:26" x14ac:dyDescent="0.2">
      <c r="A111" s="175" t="s">
        <v>103</v>
      </c>
    </row>
  </sheetData>
  <mergeCells count="38">
    <mergeCell ref="B107:H107"/>
    <mergeCell ref="A84:C84"/>
    <mergeCell ref="A86:E86"/>
    <mergeCell ref="A98:E98"/>
    <mergeCell ref="C105:G105"/>
    <mergeCell ref="B95:H95"/>
    <mergeCell ref="C93:D93"/>
    <mergeCell ref="K80:Q80"/>
    <mergeCell ref="S80:Y80"/>
    <mergeCell ref="B79:H79"/>
    <mergeCell ref="B80:H80"/>
    <mergeCell ref="B66:H66"/>
    <mergeCell ref="B67:H67"/>
    <mergeCell ref="C76:O76"/>
    <mergeCell ref="P76:Z76"/>
    <mergeCell ref="S79:Y79"/>
    <mergeCell ref="A52:B52"/>
    <mergeCell ref="J1:K1"/>
    <mergeCell ref="J2:L2"/>
    <mergeCell ref="A6:L6"/>
    <mergeCell ref="A7:L7"/>
    <mergeCell ref="A9:L9"/>
    <mergeCell ref="C64:O64"/>
    <mergeCell ref="A57:C57"/>
    <mergeCell ref="A47:B47"/>
    <mergeCell ref="P11:Z11"/>
    <mergeCell ref="A34:B34"/>
    <mergeCell ref="A35:B35"/>
    <mergeCell ref="A36:B36"/>
    <mergeCell ref="A37:L37"/>
    <mergeCell ref="P37:Z37"/>
    <mergeCell ref="A11:O11"/>
    <mergeCell ref="A53:B53"/>
    <mergeCell ref="A54:B54"/>
    <mergeCell ref="A48:B48"/>
    <mergeCell ref="A49:B49"/>
    <mergeCell ref="A50:B50"/>
    <mergeCell ref="A51:B51"/>
  </mergeCells>
  <pageMargins left="0.25" right="0.25" top="0.75" bottom="0.75" header="0.3" footer="0.3"/>
  <pageSetup paperSize="9" scale="59" fitToHeight="0" orientation="landscape" r:id="rId1"/>
  <headerFooter differentFirst="1" alignWithMargins="0">
    <oddFooter>&amp;C&amp;P</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1</vt:i4>
      </vt:variant>
      <vt:variant>
        <vt:lpstr>Diapazoni ar nosaukumiem</vt:lpstr>
      </vt:variant>
      <vt:variant>
        <vt:i4>2</vt:i4>
      </vt:variant>
    </vt:vector>
  </HeadingPairs>
  <TitlesOfParts>
    <vt:vector size="3" baseType="lpstr">
      <vt:lpstr>Maksas pakalpojumi</vt:lpstr>
      <vt:lpstr>'Maksas pakalpojumi'!Drukas_apgabals</vt:lpstr>
      <vt:lpstr>'Maksas pakalpojumi'!Drukāt_virsrakstus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Vineta Pēce</dc:creator>
  <cp:lastModifiedBy>Agnese Saukuma</cp:lastModifiedBy>
  <cp:lastPrinted>2016-12-15T06:29:47Z</cp:lastPrinted>
  <dcterms:created xsi:type="dcterms:W3CDTF">2016-12-05T12:04:07Z</dcterms:created>
  <dcterms:modified xsi:type="dcterms:W3CDTF">2016-12-15T06:31:16Z</dcterms:modified>
</cp:coreProperties>
</file>