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0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6.pielikums" sheetId="6" r:id="rId6"/>
    <sheet name="7.pielikums" sheetId="7" r:id="rId7"/>
    <sheet name="8.pielikums" sheetId="8" r:id="rId8"/>
  </sheets>
  <externalReferences>
    <externalReference r:id="rId11"/>
  </externalReferences>
  <definedNames>
    <definedName name="_xlnm.Print_Titles" localSheetId="0">'1.pielikums'!$8:$8</definedName>
    <definedName name="_xlnm.Print_Titles" localSheetId="2">'3.pielikums'!$7:$8</definedName>
    <definedName name="_xlnm.Print_Titles" localSheetId="3">'4.pielikums'!$6:$6</definedName>
    <definedName name="_xlnm.Print_Titles" localSheetId="4">'5.pielikums'!$A:$A,'5.pielikums'!$6:$7</definedName>
    <definedName name="_xlnm.Print_Titles" localSheetId="6">'7.pielikums'!$6:$6</definedName>
  </definedNames>
  <calcPr fullCalcOnLoad="1"/>
</workbook>
</file>

<file path=xl/sharedStrings.xml><?xml version="1.0" encoding="utf-8"?>
<sst xmlns="http://schemas.openxmlformats.org/spreadsheetml/2006/main" count="2277" uniqueCount="918">
  <si>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</si>
  <si>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</si>
  <si>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</si>
  <si>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</si>
  <si>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</si>
  <si>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</si>
  <si>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</si>
  <si>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</si>
  <si>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</si>
  <si>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</si>
  <si>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</si>
  <si>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</si>
  <si>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</si>
  <si>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</si>
  <si>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</si>
  <si>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</si>
  <si>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</si>
  <si>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</si>
  <si>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</si>
  <si>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</si>
  <si>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           Pamatbudžeta ieņēmumi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</si>
  <si>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</si>
  <si>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</si>
  <si>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</si>
  <si>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</si>
  <si>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</si>
  <si>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</si>
  <si>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>Domes priekšsēdētājs</t>
  </si>
  <si>
    <t>A. Rāviņš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</si>
  <si>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</si>
  <si>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</si>
  <si>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</si>
  <si>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</si>
  <si>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</si>
  <si>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</si>
  <si>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</si>
  <si>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</si>
  <si>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</si>
  <si>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</si>
  <si>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</si>
  <si>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</si>
  <si>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</si>
  <si>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</si>
  <si>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</si>
  <si>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03.110.</t>
  </si>
  <si>
    <t>03.200.</t>
  </si>
  <si>
    <t>04.510.</t>
  </si>
  <si>
    <t>Autotransports</t>
  </si>
  <si>
    <t>01.330.</t>
  </si>
  <si>
    <t>05.100.</t>
  </si>
  <si>
    <t>Atkritumu apsaimniekošana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</si>
  <si>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</si>
  <si>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</si>
  <si>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</si>
  <si>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</si>
  <si>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</si>
  <si>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</si>
  <si>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</si>
  <si>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</si>
  <si>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</si>
  <si>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</si>
  <si>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</si>
  <si>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</si>
  <si>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</si>
  <si>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</si>
  <si>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</si>
  <si>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</si>
  <si>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</si>
  <si>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</si>
  <si>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</si>
  <si>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</si>
  <si>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</si>
  <si>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</si>
  <si>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</si>
  <si>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</si>
  <si>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</si>
  <si>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</si>
  <si>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</si>
  <si>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</si>
  <si>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</si>
  <si>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>3. pielikums</t>
  </si>
  <si>
    <t xml:space="preserve">           Pamatbudžeta izdevumu atšifrējums pa programmām </t>
  </si>
  <si>
    <t>PAVISAM IZDEVUMI (I+II)</t>
  </si>
  <si>
    <t>A.Rāviņš</t>
  </si>
  <si>
    <t>1. pielikums</t>
  </si>
  <si>
    <t>06.604.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</si>
  <si>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</si>
  <si>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</si>
  <si>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</si>
  <si>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</si>
  <si>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</si>
  <si>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</si>
  <si>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</si>
  <si>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</si>
  <si>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</si>
  <si>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10.700.</t>
  </si>
  <si>
    <t>Notekūdeņu apsaimniekošana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</si>
  <si>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</si>
  <si>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</si>
  <si>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</si>
  <si>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</si>
  <si>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</si>
  <si>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</si>
  <si>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09.810.</t>
  </si>
  <si>
    <t xml:space="preserve">Teātri, izrādes un koncertdarbība </t>
  </si>
  <si>
    <t>09.200.</t>
  </si>
  <si>
    <t>Pamatizglītība, vispārējā un profesionālā izglītība</t>
  </si>
  <si>
    <t>Interešu un profesionālās ievirzes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</si>
  <si>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</si>
  <si>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</si>
  <si>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</si>
  <si>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</si>
  <si>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</si>
  <si>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</si>
  <si>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</si>
  <si>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</si>
  <si>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</si>
  <si>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</si>
  <si>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</si>
  <si>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</si>
  <si>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</si>
  <si>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</si>
  <si>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Sociālās un medicīniskās aprūpes centrs</t>
  </si>
  <si>
    <t>10.401.</t>
  </si>
  <si>
    <t>10.403.</t>
  </si>
  <si>
    <t>10.701.</t>
  </si>
  <si>
    <t>10.704.</t>
  </si>
  <si>
    <t>10.706.</t>
  </si>
  <si>
    <t>10.707.</t>
  </si>
  <si>
    <t>Sociālā māja un sociālie dzīvokļi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</si>
  <si>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</si>
  <si>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</si>
  <si>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</si>
  <si>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</si>
  <si>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speciālu atļauju (licenču)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</si>
  <si>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</si>
  <si>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</si>
  <si>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</si>
  <si>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</si>
  <si>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</si>
  <si>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Naudas sodi, ko uzliek pašvaldības</t>
  </si>
  <si>
    <t>Pašvaldību budžetu transferti</t>
  </si>
  <si>
    <t xml:space="preserve">Procentu ieņēmumi par maksas pakalpojumu un citu pašu ieņēmumu ieguldījumiem depozītā vai kontu atlikumiem </t>
  </si>
  <si>
    <t>Ieņēmumi no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</si>
  <si>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</si>
  <si>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</si>
  <si>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</si>
  <si>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</si>
  <si>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</si>
  <si>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Pilsētas nozīmes pasākumi</t>
  </si>
  <si>
    <t>Pamatkapitāla palielināšana SIA "Zemgales Olimpiskais centrs"</t>
  </si>
  <si>
    <t>Pārējā citur neklasificētā kultūra</t>
  </si>
  <si>
    <t>Bērnu un ģimenes atbalsta centrs</t>
  </si>
  <si>
    <t>01.122.</t>
  </si>
  <si>
    <t>01.123.</t>
  </si>
  <si>
    <t xml:space="preserve">Tūrisms </t>
  </si>
  <si>
    <t>04.900.</t>
  </si>
  <si>
    <t>Pārējā citur neklasificētā ekonomiskā darbība</t>
  </si>
  <si>
    <t>Pilsētas sanitārā tīrīšana (SIA "Zemgales EKO" funkcija)</t>
  </si>
  <si>
    <t xml:space="preserve">05.102. 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</si>
  <si>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</si>
  <si>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</si>
  <si>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</si>
  <si>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</si>
  <si>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</si>
  <si>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</si>
  <si>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</si>
  <si>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</si>
  <si>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 xml:space="preserve"> 2.pielikums</t>
  </si>
  <si>
    <t>09.811.</t>
  </si>
  <si>
    <t>Pārējā izglītības vadība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</si>
  <si>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</si>
  <si>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</si>
  <si>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</si>
  <si>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</si>
  <si>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</si>
  <si>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</si>
  <si>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</si>
  <si>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Pārejie dažādi nenodokļu ieņēmumi, kas nav iepriekš klasificēti šajā klasifikācijā</t>
  </si>
  <si>
    <t>4. Maksas pakalpojumi un citi pašu ieņēmumi</t>
  </si>
  <si>
    <t>F21010000</t>
  </si>
  <si>
    <t>Teritoriju un mājokļu apsaimniekošana</t>
  </si>
  <si>
    <t>F40320020</t>
  </si>
  <si>
    <t>Saņemto ilgtermiņa aizņēmumu atmaksa</t>
  </si>
  <si>
    <t xml:space="preserve">Akcijas un cita līdzdalība komersantu pašu kapitālā </t>
  </si>
  <si>
    <t>04.901.</t>
  </si>
  <si>
    <t>04.905.</t>
  </si>
  <si>
    <t>Zemes reformas darbība, zemes īpašuma un lietošanas tiesību pārveidošana</t>
  </si>
  <si>
    <t>07.100.</t>
  </si>
  <si>
    <t>Ārstniecības līdzekļi</t>
  </si>
  <si>
    <t>07.200.</t>
  </si>
  <si>
    <t>Ambulatoro ārstniecības iestāžu darbība un pakalpojumi</t>
  </si>
  <si>
    <t>07.300.</t>
  </si>
  <si>
    <t>Slimnīcu pakalpojumi</t>
  </si>
  <si>
    <t>09.101.</t>
  </si>
  <si>
    <t>09.222.</t>
  </si>
  <si>
    <t>Profesionālā vidējā izglītība</t>
  </si>
  <si>
    <t>09.530.</t>
  </si>
  <si>
    <t>Līmeņos nedefinēta izglītība pieaugušajiem</t>
  </si>
  <si>
    <t>09.531.</t>
  </si>
  <si>
    <t>09.532.</t>
  </si>
  <si>
    <t>09.520.</t>
  </si>
  <si>
    <t>Sociālā palīdzība ģimenēm ar bērniem un vardarbībā cietušo bērnu rehabilitācija</t>
  </si>
  <si>
    <t>Nekustamā īpašuma nodoklis par mājokļiem</t>
  </si>
  <si>
    <t>Ieņēmumi no dzīvojamo māju privatizācijas</t>
  </si>
  <si>
    <t>01.111.</t>
  </si>
  <si>
    <t xml:space="preserve">Klasifik. kods </t>
  </si>
  <si>
    <t>Izpildvaras institūcija</t>
  </si>
  <si>
    <t>01.112.</t>
  </si>
  <si>
    <t>04.519.</t>
  </si>
  <si>
    <t>04.906.</t>
  </si>
  <si>
    <t>08.241.</t>
  </si>
  <si>
    <t>09.210.</t>
  </si>
  <si>
    <t>08.105.</t>
  </si>
  <si>
    <t>08.243.</t>
  </si>
  <si>
    <t>Jelgavas Ā.Alunāna teātra darbības nodrošināšana</t>
  </si>
  <si>
    <t>08.401.</t>
  </si>
  <si>
    <t>08.402.</t>
  </si>
  <si>
    <t>Citi dažādi nenodokļu ieņēmumi</t>
  </si>
  <si>
    <t>08.231.</t>
  </si>
  <si>
    <t>08.232.</t>
  </si>
  <si>
    <t>08.403.</t>
  </si>
  <si>
    <t>Kultūras padomes finansētie pasākumi</t>
  </si>
  <si>
    <t>Subsīdija nodibinājumam "Kultūras tālākizglītības atbalsta fonds"</t>
  </si>
  <si>
    <t>08.405.</t>
  </si>
  <si>
    <t>Reliģisko organizāciju un citu biedrību un nodibinājumu pakalpojumi</t>
  </si>
  <si>
    <t>09.521.</t>
  </si>
  <si>
    <t>09.522.</t>
  </si>
  <si>
    <t>Atbalsta fondi</t>
  </si>
  <si>
    <t>Zvērināto auditoru pakalpojumi un grāmatvedības programmas "Horizon" uzturēšana</t>
  </si>
  <si>
    <t xml:space="preserve">Klasifikā-cijas kods 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</si>
  <si>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</si>
  <si>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</si>
  <si>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</si>
  <si>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</si>
  <si>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</si>
  <si>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</si>
  <si>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</si>
  <si>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</si>
  <si>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</si>
  <si>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</si>
  <si>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</si>
  <si>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</si>
  <si>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</si>
  <si>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</si>
  <si>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10.140.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</si>
  <si>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</si>
  <si>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</si>
  <si>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</si>
  <si>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</si>
  <si>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</si>
  <si>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</si>
  <si>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</si>
  <si>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</si>
  <si>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</si>
  <si>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</si>
  <si>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</si>
  <si>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</si>
  <si>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</si>
  <si>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</si>
  <si>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</si>
  <si>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</si>
  <si>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</si>
  <si>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</si>
  <si>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>21.300.</t>
  </si>
  <si>
    <t>21.340.</t>
  </si>
  <si>
    <t>21.350.</t>
  </si>
  <si>
    <t>21.370.</t>
  </si>
  <si>
    <t>21.380.</t>
  </si>
  <si>
    <t>21.390.</t>
  </si>
  <si>
    <t>01.124.</t>
  </si>
  <si>
    <t>Dotācija no vispārējiem ieņēmumiem</t>
  </si>
  <si>
    <t>Budžeta iestāžu ieņēmumi</t>
  </si>
  <si>
    <t xml:space="preserve"> Valsts budžeta transferti </t>
  </si>
  <si>
    <t>Pašvaldību budžeta transferti</t>
  </si>
  <si>
    <t>Izpildvaras un likumdošanas varas institūcijas</t>
  </si>
  <si>
    <t>04.909.</t>
  </si>
  <si>
    <t>Dotācija "Zemgales plānošanas reģions"</t>
  </si>
  <si>
    <t>10.504.</t>
  </si>
  <si>
    <t>04.908.</t>
  </si>
  <si>
    <t>09.812.</t>
  </si>
  <si>
    <t>Pašvaldību saņemtie valsts budžeta transferti noteiktam mērķim</t>
  </si>
  <si>
    <t>Pašvaldību saņemtie transferti no valsts budžeta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</si>
  <si>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</si>
  <si>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</si>
  <si>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</si>
  <si>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Citi iepriekš neklasificētie pašu ieņēmumi</t>
  </si>
  <si>
    <r>
      <t>Kultūras centri, nami un klubi</t>
    </r>
    <r>
      <rPr>
        <b/>
        <i/>
        <sz val="11"/>
        <rFont val="Times New Roman"/>
        <family val="1"/>
      </rPr>
      <t xml:space="preserve"> </t>
    </r>
  </si>
  <si>
    <t>04.912.</t>
  </si>
  <si>
    <t>ERAF projekts "Ielu infrastruktūras attīstība un Driksas upes krastmalas sakārtošana"</t>
  </si>
  <si>
    <t>Latvijas - Lietuvas pārrobežu sadarbības programmas projekts "Zinātnes un ražošanas sadarbības veidošana Jelgavā un Šauļos"</t>
  </si>
  <si>
    <t xml:space="preserve">Pārējā citur neklasificētā pašvaldības teritoriju un mājokļu apsaimniekošanas darbība </t>
  </si>
  <si>
    <t>Dotācijas projektu realizācijai NVO</t>
  </si>
  <si>
    <t>Pirmsskolas izglītības iestāžu uzturēšana</t>
  </si>
  <si>
    <t>Atbalsts ģimenēm ar bērniem</t>
  </si>
  <si>
    <t>Atbalsts bezdarba gadījumā</t>
  </si>
  <si>
    <t>Pārējais citur neklasificētais atbalsts sociāli atstumtām personām</t>
  </si>
  <si>
    <r>
      <t>Mājokļa atbalsts -</t>
    </r>
    <r>
      <rPr>
        <b/>
        <i/>
        <sz val="11"/>
        <rFont val="Times New Roman"/>
        <family val="1"/>
      </rPr>
      <t>Dzīvokļa pabalsts un pabalsts individuālās apkures nodrošināšanai</t>
    </r>
  </si>
  <si>
    <t>Eiropas reģionālās attīstības projekts "Hidrotehnisko būvju rekonstrukcija plūdu draudu risku novēršanai Kalnciema ceļa - Loka maģistrāles rajonā, Jelgavā"</t>
  </si>
  <si>
    <t>Palīdzība veciem cilvēkiem</t>
  </si>
  <si>
    <t>Valsts nodeva par uzvārda, vārda un tautības ieraksta maiņu personu apliecinošos dokumentos</t>
  </si>
  <si>
    <t>Subsīdija nodibinājumam "Sporta talākizglītības atbalsta fonds"</t>
  </si>
  <si>
    <t>09.529.</t>
  </si>
  <si>
    <t>06.606.</t>
  </si>
  <si>
    <t>04.914.</t>
  </si>
  <si>
    <t>08.242.</t>
  </si>
  <si>
    <t>10.709.</t>
  </si>
  <si>
    <t>01.600.</t>
  </si>
  <si>
    <t>10.922.</t>
  </si>
  <si>
    <t>04.734.</t>
  </si>
  <si>
    <t>05.304.</t>
  </si>
  <si>
    <t>07.622.</t>
  </si>
  <si>
    <t>09.219.3.</t>
  </si>
  <si>
    <t>09.518.</t>
  </si>
  <si>
    <r>
      <t xml:space="preserve">Pārējie iepriekš neklasificētie vispārējie vadības dienesti - </t>
    </r>
    <r>
      <rPr>
        <b/>
        <i/>
        <sz val="11"/>
        <rFont val="Times New Roman"/>
        <family val="1"/>
      </rPr>
      <t>vēlēšanu organizēšana</t>
    </r>
  </si>
  <si>
    <t>Centrālās baltijas jūras reģiona INTERREG IV A programmas projekts "Centrālbaltijas velotīkls"</t>
  </si>
  <si>
    <t>ESF projekts "Jelgavas pilsētas attīstības plānošanas kapacitātes paaugstināšana"</t>
  </si>
  <si>
    <t>ESF projekts „Jelgavas pilsētas pašvaldības kapacitātes stiprināšana – II kārta”</t>
  </si>
  <si>
    <t xml:space="preserve">Ielu, laukumu, publisko dārzu un parku tīrīšana un atkritumu savākšana </t>
  </si>
  <si>
    <t>Latvijas - Lietuvas pārrobežu sadarbības programmas projekts "Ekoloģisko avāriju likvidēšana un vides piesārņojuma mazināšana Lielupes baseina teritorijā"</t>
  </si>
  <si>
    <t>05.300.</t>
  </si>
  <si>
    <t>Vides piesārņojuma novēršana un samazināšana</t>
  </si>
  <si>
    <t>06.201.</t>
  </si>
  <si>
    <t>Ar pašvaldības teritoriju saistīto normatīvo aktu un standartu sagatavošana un ieviešana</t>
  </si>
  <si>
    <t>Veselības veicināšanas pasākumi</t>
  </si>
  <si>
    <t>Latvijas - Lietuvas pārrobežu sadarbības programmas projekts "Veseli jaunieši"</t>
  </si>
  <si>
    <t>Muzeji un izstādes</t>
  </si>
  <si>
    <t>P/ie "Kultūra" pasākumi</t>
  </si>
  <si>
    <t>Pirmskolas izglītība</t>
  </si>
  <si>
    <t>Vispārējā izglītība</t>
  </si>
  <si>
    <t>09.219.1.</t>
  </si>
  <si>
    <t>09.219.2.</t>
  </si>
  <si>
    <t>Jelgavas Amatu vidusskolas projektu realizācija</t>
  </si>
  <si>
    <t>09.222.2.</t>
  </si>
  <si>
    <t>09.222.3.</t>
  </si>
  <si>
    <t>Citi interešu izglītības pasākumi, t.sk. Bērnu un jauniešu izglītības centrs "Junda"</t>
  </si>
  <si>
    <t>Subsīdija nodibinājumam "Izglītības atbalsta fonds"</t>
  </si>
  <si>
    <t>Subsīdija nodibinājumam "J.Bisenieka fonds"</t>
  </si>
  <si>
    <t>P/ie "Jelgavas bērnu sociālās aprūpes centrs" īslaicīgās sociālās aprūpes grupa</t>
  </si>
  <si>
    <t>10.900.</t>
  </si>
  <si>
    <r>
      <t>Pārējā citur neklasificētā sociālā aizsardzība</t>
    </r>
    <r>
      <rPr>
        <b/>
        <i/>
        <sz val="11"/>
        <rFont val="Times New Roman"/>
        <family val="1"/>
      </rPr>
      <t xml:space="preserve">  </t>
    </r>
  </si>
  <si>
    <t>Pabalsti ārkārtas gadījumos, citi pabalsti un kompensācijas</t>
  </si>
  <si>
    <t>10.921.</t>
  </si>
  <si>
    <t>Braukšanas maksas atvieglojumi skolēniem sabiedriskajā transportā</t>
  </si>
  <si>
    <t>Pārējās nodevas, ko uzliek pašvaldības</t>
  </si>
  <si>
    <t>Ieņēmumi no apbūvēta zemesgabala privatizācijas</t>
  </si>
  <si>
    <t>Ieņēmumi no neapbūvēta zemesgabala privatizācijas</t>
  </si>
  <si>
    <t>21.490.</t>
  </si>
  <si>
    <t>Pamatkapitāla palielināšana SIA "Medicīnas sabiedrība OPTIMA 1"</t>
  </si>
  <si>
    <t>Pamatkapitāla palielināšana SIA "Jelgavas pilsētas slimnīca"</t>
  </si>
  <si>
    <t>04.521.</t>
  </si>
  <si>
    <t>04.916.</t>
  </si>
  <si>
    <t>SPECIĀLĀ BUDŽETA NOSAUKUMS</t>
  </si>
  <si>
    <t>I</t>
  </si>
  <si>
    <t xml:space="preserve">Dabas resursu nodoklis </t>
  </si>
  <si>
    <t>Dabas resursu nodoklis par dabas resursu ieguvi un vides piesārņojumu</t>
  </si>
  <si>
    <t>II</t>
  </si>
  <si>
    <t>Autoceļu (ielu) fonda līdzekļi</t>
  </si>
  <si>
    <t>Mērķdotācija pašvaldību autoceļu (ielu) fondiem</t>
  </si>
  <si>
    <t>Mērķdotācija pašvaldībām  pasažieru regulārajiem pārvadājumiem ar autobusiem</t>
  </si>
  <si>
    <t>P/ie "Jelgavas pilsētas pašvaldības policija" darbības nodrošināšana</t>
  </si>
  <si>
    <t xml:space="preserve">ERAF projekts „Transporta infrastruktūras izbūve industriālo teritoriju attīstības nodrošināšanai Jelgavā” </t>
  </si>
  <si>
    <t>ERAF projekts„Jāņa kolektora rekonstrukcija plūdu draudu novēršanai un samazināšanai Jelgavā”</t>
  </si>
  <si>
    <t>05.601.</t>
  </si>
  <si>
    <t xml:space="preserve">Latvijas – Lietuvas pārrobežu sadarbības programmas projekts „Vides izpratnes veicināšana Jelgavas un Šauļu pilsētās” </t>
  </si>
  <si>
    <t>Projektu sagatavošana, izstrāde un teritoriju attīstība</t>
  </si>
  <si>
    <t>P/ie "Pilsētsaimniecība" darbības nodrošināšana</t>
  </si>
  <si>
    <t>P/ie "Sporta servisa centrs" darbības nodrošināšana</t>
  </si>
  <si>
    <t>P/ie  "Jelgavas zinātniskā bibliotēka" darbības nodrošināšana</t>
  </si>
  <si>
    <t>P/ie "Jelgavas Ģ.Eliasa Vēstures un mākslas muzejs" darbības nodrošināšana</t>
  </si>
  <si>
    <t>P/ie  "Kultūra" darbības nodrošināšana</t>
  </si>
  <si>
    <t>P/ie "Zemgales INFO" darbības nodrošināšana</t>
  </si>
  <si>
    <t>Dotācijas reliģiskajām un citām biedrībām, nodibinājumiem - finanšu nodaļa</t>
  </si>
  <si>
    <t>Internātpamatskolas un šo skolu projektu īstenošana</t>
  </si>
  <si>
    <t>Jelgavas vispārizglītojošo skolu projektu īstenošana</t>
  </si>
  <si>
    <t>Jelgavas vispārizglītojošo skolu uzturēšana</t>
  </si>
  <si>
    <t>Jelgavas Amatu vidusskolas uzturēšana</t>
  </si>
  <si>
    <t>Bērnu un jauniešu izglītības centra "Junda" projektu īstenošana</t>
  </si>
  <si>
    <t>P/ie "Zemgales reģionālais kompetenču attīstības centrs" darbības nodrošināšana</t>
  </si>
  <si>
    <t>P/ie "Zemgales reģionālais kompetenču attīstības centrs" projektu īstenošana</t>
  </si>
  <si>
    <t>P/ie "Jelgavas Izglītības pārvalde" darbības nodrošināšana</t>
  </si>
  <si>
    <t>09.812.3.</t>
  </si>
  <si>
    <t>P/ie "Jelgavas Izglītības pārvalde"  projektu īstenošana</t>
  </si>
  <si>
    <t>P/ie "Jelgavas Izglītības pārvalde" iekļaujošas izglītības atbalsta centrs</t>
  </si>
  <si>
    <t>P/ie Bāriņtiesa darbības nodrošināšana</t>
  </si>
  <si>
    <t>JSLP Naktspatversme</t>
  </si>
  <si>
    <t>P/ie "Jelgavas sociālo lietu pārvalde" darbības nodrošināšana</t>
  </si>
  <si>
    <t>EUR</t>
  </si>
  <si>
    <t>10.705.2.</t>
  </si>
  <si>
    <t xml:space="preserve">           Pamatbudžeta izdevumi                                                            </t>
  </si>
  <si>
    <t>05.530.</t>
  </si>
  <si>
    <t>03.205.</t>
  </si>
  <si>
    <t>Projekts "Ikdienas negadījumu un katastrofu novēršana Baltijā"</t>
  </si>
  <si>
    <t>III</t>
  </si>
  <si>
    <t>Ziedojumi un dāvinājumi</t>
  </si>
  <si>
    <t>KOPĀ SPECIĀLO BUDŽETU RESURSI (I+II+III)</t>
  </si>
  <si>
    <t>KODS</t>
  </si>
  <si>
    <t xml:space="preserve"> 6. pielikums</t>
  </si>
  <si>
    <t>21.100.</t>
  </si>
  <si>
    <t>10.911.</t>
  </si>
  <si>
    <t>10.912.</t>
  </si>
  <si>
    <t>Finansēšana - naudas līdzekļu atlikums perioda sākumā</t>
  </si>
  <si>
    <t>Finansēšana - naudas līdzekļu atlikums perioda beigās</t>
  </si>
  <si>
    <t>euro</t>
  </si>
  <si>
    <t>Izdevumi - kopā</t>
  </si>
  <si>
    <t>Ceļu un ielu būvniecība</t>
  </si>
  <si>
    <t>Ceļu un ielu atjaunošana, pārbūve un nojaukšana</t>
  </si>
  <si>
    <t>Ceļu un ielu ikdienas uzturēšana</t>
  </si>
  <si>
    <t>Pārējie izdevumi</t>
  </si>
  <si>
    <t>Finansēšana</t>
  </si>
  <si>
    <t>N.p.k.</t>
  </si>
  <si>
    <t>2016.gads</t>
  </si>
  <si>
    <t>2017.gads</t>
  </si>
  <si>
    <t>JELGAVAS PILSĒTAS PAŠVALDĪBAS VIDĒJA TERMIŅA IELU FINANSĒŠANAI PAREDZĒTAIS AUTOCEĻU FONDS</t>
  </si>
  <si>
    <t>Naudas līdzekļi perioda sākumā</t>
  </si>
  <si>
    <t>Zaudējumu kompensācija pašvaldības SIA "Jelgavas autobusu parks"</t>
  </si>
  <si>
    <t>8. pielikums</t>
  </si>
  <si>
    <t xml:space="preserve">         JELGAVAS PILSĒTAS PAŠVALDĪBAS 2016.GADA BUDŽETS  </t>
  </si>
  <si>
    <t>2016.gada plāns</t>
  </si>
  <si>
    <t>Valsts nodevas par laulības reģistrāciju, civilstāvokļa akta reģistra ieraksta aktualizēšanu vai atjaunošanu un atkārtotas civilstāvokļa aktu reģistrācijas apliecības izsniegšanu</t>
  </si>
  <si>
    <t>Pašvaldības nodeva par domes izstrādāto oficiālo dokumentu un apliecinātu to kopiju saņemšanu</t>
  </si>
  <si>
    <t>18.640.</t>
  </si>
  <si>
    <t xml:space="preserve">Iestādes ieņēmumi </t>
  </si>
  <si>
    <t>Iestādes ieņēmumi no ārvalstu finanšu palīdzības</t>
  </si>
  <si>
    <t xml:space="preserve">Ieņēmumi no iestāžu sniegtajiem maksas pakalpojumiem un citi pašu ieņēmumi </t>
  </si>
  <si>
    <t>Ieņēmumi par pārējiem sniegtajiem maksas pakalpojumiem</t>
  </si>
  <si>
    <t>Finansēšana (naudas līdzekļu atlikums uz 31.12.2015.)</t>
  </si>
  <si>
    <t xml:space="preserve">JELGAVAS PILSĒTAS PAŠVALDĪBAS 2016.GADA BUDŽETS  </t>
  </si>
  <si>
    <t>Plāns 2016.gadam</t>
  </si>
  <si>
    <t>2016.gada izdevumu plāns</t>
  </si>
  <si>
    <t>JELGAVAS PILSĒTAS  PAŠVALDĪBAS  2016.GADA  SPECIĀLAIS BUDŽETS</t>
  </si>
  <si>
    <t>2016. gada  ieņēmumu plāns</t>
  </si>
  <si>
    <t>2016.gada speciālā budžeta resursu plāns</t>
  </si>
  <si>
    <t xml:space="preserve">2016.gada speciālā budžeta izdevumu plāns </t>
  </si>
  <si>
    <t xml:space="preserve">Ieņēmumi no (valsts) pašvaldību īpašuma iznomāšanas, pārdošanas un no nodokļu pamatparāda kapitalizācijas </t>
  </si>
  <si>
    <t>10.154.</t>
  </si>
  <si>
    <t>01.113.</t>
  </si>
  <si>
    <t>Projekts "Komunikācija ar sabiedrību tās iesaistei pašvaldību lēmumu pieņemšanā"</t>
  </si>
  <si>
    <t>01.114.</t>
  </si>
  <si>
    <t>05.602.</t>
  </si>
  <si>
    <t>09.218.</t>
  </si>
  <si>
    <t>09.218.01.</t>
  </si>
  <si>
    <t>05.202.</t>
  </si>
  <si>
    <t>06.401.</t>
  </si>
  <si>
    <t>08.211.</t>
  </si>
  <si>
    <t>08.212.</t>
  </si>
  <si>
    <t>08.331.</t>
  </si>
  <si>
    <t>10.122.</t>
  </si>
  <si>
    <t>10.601.</t>
  </si>
  <si>
    <t>10.407.</t>
  </si>
  <si>
    <t>Naudas līdzekļu atlikums uz perioda beigām</t>
  </si>
  <si>
    <t>10.150.</t>
  </si>
  <si>
    <t>Naudas sodi, ko uzliek par pārkāpumiem ceļu satiksmē</t>
  </si>
  <si>
    <t>Naudas līdzekļi uz perioda sākumu</t>
  </si>
  <si>
    <t>Projekts "Integrētu teritoriālo investīciju projektu iesniegumu atlases nodrošināšana Jelgavas pilsētas pašvaldībā"</t>
  </si>
  <si>
    <t xml:space="preserve">P/ie "Pašvaldības operatīvās informācijas centrs" darbības nodrošināšana </t>
  </si>
  <si>
    <t>Bibliotēkas</t>
  </si>
  <si>
    <t>Jelgavas kamerorķestra darbības nodrošināšana</t>
  </si>
  <si>
    <t>Jelgavas bigbenda darbības nodrošināšana</t>
  </si>
  <si>
    <t>Centralizēto datoru un datortīkla uzturēšana</t>
  </si>
  <si>
    <t>Parāda procentu nomaksa</t>
  </si>
  <si>
    <t>Izdevumi neparedzētiem gadījumiem</t>
  </si>
  <si>
    <t>P/ie "Jelgavas reģionālais tūrisma centrs" darbības nodrošināšana</t>
  </si>
  <si>
    <t>Tautas mākslas kolektīvu darbības nodrošināšana</t>
  </si>
  <si>
    <t>Projekts "Enerģētikas konsultantu rekomendācijas zema patēriņa ēkas izbūvei"</t>
  </si>
  <si>
    <t>Jelgavas sporta skolas</t>
  </si>
  <si>
    <t>Jelgavas Mākslas skolas uzturēšana</t>
  </si>
  <si>
    <t>Dienas aprūpes centrs pilngadīgām personām ar smagiem funkcionāliem traucējumiem</t>
  </si>
  <si>
    <t>Projekts "Elastīga bērnu uzraudzības pakalpojuma nodrošināšana darbiniekiem, kas strādā nestandarta darba laiku"</t>
  </si>
  <si>
    <t>Naudas sodi, ko uzliek pašvaldību institūcijas par pārkāpumiem ceļu satiksmē</t>
  </si>
  <si>
    <t>5.pielikums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</si>
  <si>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</si>
  <si>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</si>
  <si>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</si>
  <si>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</si>
  <si>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</si>
  <si>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</si>
  <si>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</si>
  <si>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</si>
  <si>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</si>
  <si>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</si>
  <si>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2030-2035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</si>
  <si>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</si>
  <si>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</si>
  <si>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</si>
  <si>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</si>
  <si>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</si>
  <si>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</si>
  <si>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05.05.2027.</t>
  </si>
  <si>
    <t>Valsts kase</t>
  </si>
  <si>
    <t>Autobusu iegāde</t>
  </si>
  <si>
    <t>09.02.2006.</t>
  </si>
  <si>
    <t>A2/1/10/477</t>
  </si>
  <si>
    <t>20.01.2016.</t>
  </si>
  <si>
    <t>4.vsk piebūves projektēšana</t>
  </si>
  <si>
    <t>17.03.2006.</t>
  </si>
  <si>
    <t>A2/1/10/474</t>
  </si>
  <si>
    <t>Skolu dabas zinātņu kabinetu renovācija</t>
  </si>
  <si>
    <t>A2/1/10/475</t>
  </si>
  <si>
    <t>Sv.Trīsvienības baznīcas torņa rekonstrukcijas projekts</t>
  </si>
  <si>
    <t>A2/1/10/476</t>
  </si>
  <si>
    <t>Elektrotīklu pirkšana</t>
  </si>
  <si>
    <t>A2/1/10/487</t>
  </si>
  <si>
    <t>Slimnīcas operāciju bloka remonts</t>
  </si>
  <si>
    <t>27.06.2006.</t>
  </si>
  <si>
    <t>A2/1/10/472</t>
  </si>
  <si>
    <t>ERAF projekta realizācija ar SAC "Jelgava"</t>
  </si>
  <si>
    <t>A2/1/10/473</t>
  </si>
  <si>
    <t>Stāvlaukuma un ielu rekonstrukcija</t>
  </si>
  <si>
    <t>A2/1/10/471</t>
  </si>
  <si>
    <t>20.03.2021.</t>
  </si>
  <si>
    <t>Peldu ielas izbūve</t>
  </si>
  <si>
    <t>13.10.2006.</t>
  </si>
  <si>
    <t>A2/1/10/488</t>
  </si>
  <si>
    <t>PHARE projekts "Satiksmes drošība pie skolām"</t>
  </si>
  <si>
    <t>A2/1/10/485</t>
  </si>
  <si>
    <t>Pašvaldību iestāžu ēku remonts</t>
  </si>
  <si>
    <t>21.06.2007.-</t>
  </si>
  <si>
    <t>A2/1/07/301</t>
  </si>
  <si>
    <t>20.01.2017.</t>
  </si>
  <si>
    <t>Pamatkapitāla palielināšana SIA "JPSlimnīca", "JNMPS"</t>
  </si>
  <si>
    <t>A2/1/07/302</t>
  </si>
  <si>
    <t>Pamatkapitāla palielināšana SIA "ZOC"</t>
  </si>
  <si>
    <t>A2/1/07/303</t>
  </si>
  <si>
    <t>20.03.2022.</t>
  </si>
  <si>
    <t>Pilsētas ielu izbūve, renovācija un remonts</t>
  </si>
  <si>
    <t>A2/1/07/304</t>
  </si>
  <si>
    <t>Infrastruktūras objektu rekonstrukcija un izbūve</t>
  </si>
  <si>
    <t>A2/1/07/305</t>
  </si>
  <si>
    <t>A2/1/07/306</t>
  </si>
  <si>
    <t>Energoefektivitātes paaugstināšana 4.vsk., 6.vsk, 4.psk, 1.intern.psk.</t>
  </si>
  <si>
    <t>11.04.2008.-</t>
  </si>
  <si>
    <t>A2/1/10/470</t>
  </si>
  <si>
    <t>20.03.2027.</t>
  </si>
  <si>
    <t>Projekts "Biznesa inkubatora izveide"</t>
  </si>
  <si>
    <t>A2/1/10/468</t>
  </si>
  <si>
    <t>20.02.2022.</t>
  </si>
  <si>
    <t>Pamatkapitāla palielināšana pašvaldības SIA</t>
  </si>
  <si>
    <t>A2/1/10/469</t>
  </si>
  <si>
    <t>Pilsētas ielu un infrastruktūras objektu renovācija</t>
  </si>
  <si>
    <t>A2/1/10/467</t>
  </si>
  <si>
    <t>Dzīvojamā fonda iegāde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</si>
  <si>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</si>
  <si>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</si>
  <si>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</si>
  <si>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</si>
  <si>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</si>
  <si>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</si>
  <si>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</si>
  <si>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</si>
  <si>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</si>
  <si>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</si>
  <si>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</t>
  </si>
  <si>
    <t>A2/1/10/464</t>
  </si>
  <si>
    <t>20.09.2027.</t>
  </si>
  <si>
    <t xml:space="preserve">Atraktīvu un pieejamu muzeju attīstība Zemgalē un 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</si>
  <si>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</si>
  <si>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</si>
  <si>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</si>
  <si>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</si>
  <si>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</si>
  <si>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</si>
  <si>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</si>
  <si>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</si>
  <si>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</si>
  <si>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</si>
  <si>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</si>
  <si>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</si>
  <si>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20.09.2028.</t>
  </si>
  <si>
    <t>Lielupes gultnes tīrīšana un labā krasta aizsargdambja atjaunošana</t>
  </si>
  <si>
    <t>25.08.2009.-</t>
  </si>
  <si>
    <t>A2/1/11/43</t>
  </si>
  <si>
    <t>20.07.2023.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</si>
  <si>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</si>
  <si>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</si>
  <si>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</si>
  <si>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</si>
  <si>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</si>
  <si>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</si>
  <si>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</si>
  <si>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</si>
  <si>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</si>
  <si>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</si>
  <si>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</si>
  <si>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</si>
  <si>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 Rūpniecības - Atmodas ielas posmā</t>
  </si>
  <si>
    <t>20.05.2010-</t>
  </si>
  <si>
    <t>A2/1/10/334</t>
  </si>
  <si>
    <t>Sadarbība mācību programmu kvalitātes uzlabošana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</si>
  <si>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</si>
  <si>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</si>
  <si>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</si>
  <si>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</si>
  <si>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</si>
  <si>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</si>
  <si>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</si>
  <si>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</si>
  <si>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</si>
  <si>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</si>
  <si>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</si>
  <si>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</si>
  <si>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</si>
  <si>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</si>
  <si>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</si>
  <si>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</si>
  <si>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566E</t>
  </si>
  <si>
    <t>11.10.2010-</t>
  </si>
  <si>
    <t>A2/1/11/34</t>
  </si>
  <si>
    <t>20.09.2029.</t>
  </si>
  <si>
    <t>29.07.2010-20.03.2024</t>
  </si>
  <si>
    <t>A2/1/10/599</t>
  </si>
  <si>
    <t>01.09.2010-20.03.2029</t>
  </si>
  <si>
    <t>A2/1/10/708</t>
  </si>
  <si>
    <t>Jelgavas vecpilsētas atjaunošana un pielāgošana</t>
  </si>
  <si>
    <t>01.09.2010-20.03.2024</t>
  </si>
  <si>
    <t>A2/1/10/709</t>
  </si>
  <si>
    <t>27.08.2010-20.03.2029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</si>
  <si>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</si>
  <si>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</si>
  <si>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</si>
  <si>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</si>
  <si>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</si>
  <si>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</si>
  <si>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</si>
  <si>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</si>
  <si>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24.09.2010-20.03.2029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</si>
  <si>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</si>
  <si>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</si>
  <si>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</si>
  <si>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</si>
  <si>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</si>
  <si>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</si>
  <si>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</si>
  <si>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</si>
  <si>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</si>
  <si>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Meliorat. sist. rekonstrukc.cukura rūpn. skartajās terit. 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</si>
  <si>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</si>
  <si>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</si>
  <si>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</si>
  <si>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</si>
  <si>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</si>
  <si>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 Amatu vsk.</t>
  </si>
  <si>
    <t>07.12.2011-20.04.2025</t>
  </si>
  <si>
    <t>A2/1/11/760</t>
  </si>
  <si>
    <t>A2/1/11/761</t>
  </si>
  <si>
    <t>Radošo industriju attīstība Latvijas un Lietuvas pierobežas reģionā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</si>
  <si>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</si>
  <si>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</si>
  <si>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</si>
  <si>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</si>
  <si>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</si>
  <si>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aktīvās atpūtas produktu veidošana</t>
  </si>
  <si>
    <t>16.11.2012. - 20.11.2026.</t>
  </si>
  <si>
    <t>A2/1/12/690</t>
  </si>
  <si>
    <t>Hidrotehnisko būvju rekonstrukcija plūdu draudu risku novēršana</t>
  </si>
  <si>
    <t>06.09.2012-20.09.2012.</t>
  </si>
  <si>
    <t>A2/1/12/493</t>
  </si>
  <si>
    <t>Lietuvas šosejas rekonstrukcija</t>
  </si>
  <si>
    <t>25.09.2012. - 20.09.2026.</t>
  </si>
  <si>
    <t>A2/1/12/532</t>
  </si>
  <si>
    <t>PII Skautu iela 1a iegāde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</si>
  <si>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</si>
  <si>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</si>
  <si>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</si>
  <si>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</si>
  <si>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</si>
  <si>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</si>
  <si>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</si>
  <si>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</si>
  <si>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</si>
  <si>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</si>
  <si>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</si>
  <si>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</si>
  <si>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</si>
  <si>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</si>
  <si>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 xml:space="preserve">Pasta salas labiekārtošana </t>
  </si>
  <si>
    <t>27.11.2013.- 20.11.2033.</t>
  </si>
  <si>
    <t>A2/1/13/996</t>
  </si>
  <si>
    <t>Ganību iela II kārta</t>
  </si>
  <si>
    <t>28.01.2014.- 20.01.2034</t>
  </si>
  <si>
    <t>A2/1/14/16</t>
  </si>
  <si>
    <t>Jāņa kolektora rekonstrukcija plūdu draudu novēršanai</t>
  </si>
  <si>
    <t>13.03.2014.-20.03.2034.</t>
  </si>
  <si>
    <t>A2/1/14/124</t>
  </si>
  <si>
    <t>Ganību iela I kārta</t>
  </si>
  <si>
    <t>27.03.2014.-20.03.2034.</t>
  </si>
  <si>
    <t>A2/1/14/185</t>
  </si>
  <si>
    <t>Transporta infrastruktūras izbūve - Aviācijas iela</t>
  </si>
  <si>
    <t>22.05.2014.- 20.05.2034.</t>
  </si>
  <si>
    <t>A2/1/14/330</t>
  </si>
  <si>
    <t>Satiksmes termināls</t>
  </si>
  <si>
    <t>25.05.2014.-20.05.2034.</t>
  </si>
  <si>
    <t>A2/1/14/341</t>
  </si>
  <si>
    <t>JPPPII "Rotaļa" rekonstrukcija</t>
  </si>
  <si>
    <t>15.07.2014. - 20.06.2034.</t>
  </si>
  <si>
    <t>A2/1/14/448</t>
  </si>
  <si>
    <t xml:space="preserve">JPPPII Skautu ielā 1a rekonstr. </t>
  </si>
  <si>
    <t>31.07.2014. - 20.07.2034.</t>
  </si>
  <si>
    <t>A2/1/14/512</t>
  </si>
  <si>
    <t>Kultūras nama jumta remonts</t>
  </si>
  <si>
    <t>624E</t>
  </si>
  <si>
    <t>19.08.2014. - 20.08.2034.</t>
  </si>
  <si>
    <t>A2/1/14/562</t>
  </si>
  <si>
    <t>Kompleksi risinājumi 1.internātpamatskolā"</t>
  </si>
  <si>
    <t>12.09.2014. - 20.09.2034.</t>
  </si>
  <si>
    <t>A2/1/14/652</t>
  </si>
  <si>
    <t>Jelgavas 1.internātpamatskolas rekonstrukcijas darbi</t>
  </si>
  <si>
    <t>A2/1/14/653</t>
  </si>
  <si>
    <t>Lietuvas šosejas seguma atjaunošana</t>
  </si>
  <si>
    <t>21.11.2014. - 20.11.2034.</t>
  </si>
  <si>
    <t>A2/1/14/890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</si>
  <si>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</si>
  <si>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</si>
  <si>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</si>
  <si>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</si>
  <si>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</si>
  <si>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</si>
  <si>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</si>
  <si>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</si>
  <si>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</si>
  <si>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</si>
  <si>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</si>
  <si>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</si>
  <si>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</si>
  <si>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</si>
  <si>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</si>
  <si>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</si>
  <si>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</si>
  <si>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</si>
  <si>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</si>
  <si>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</si>
  <si>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</si>
  <si>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Priekšfinansējuma atmaksas uz 27.01.2016.</t>
  </si>
  <si>
    <t>Plānotās priekšfinansējuma atmaksas</t>
  </si>
  <si>
    <t xml:space="preserve">Bez pirmstermiņa atmaksām </t>
  </si>
  <si>
    <t>Galvojumi:</t>
  </si>
  <si>
    <t>SIA Jelgavas ūdens - Ūdenssaimniecība II kārta</t>
  </si>
  <si>
    <t>03.12.2010. - 20.12.2030.</t>
  </si>
  <si>
    <t>A/1/10/1025</t>
  </si>
  <si>
    <t>Swdbank</t>
  </si>
  <si>
    <t>12.09.2012. - 12.09.2019.</t>
  </si>
  <si>
    <t>12-022694-IN/1</t>
  </si>
  <si>
    <t>SIA Jelgavas ūdens - Ūdenssaimniecība III kārta</t>
  </si>
  <si>
    <t>18.12.2013. - 20.12.2030.</t>
  </si>
  <si>
    <t>G/13/1206</t>
  </si>
  <si>
    <t>SIA Jelgavas ūdens - Ūdenssaimniecība IV kārta</t>
  </si>
  <si>
    <t>16.10.2015 - 20.09.2025</t>
  </si>
  <si>
    <t>G/15/580</t>
  </si>
  <si>
    <t>Galvojumu saistības kopā</t>
  </si>
  <si>
    <t>PAVISAM KOPĀ</t>
  </si>
  <si>
    <t xml:space="preserve"> Kopā pamatsummas                  </t>
  </si>
  <si>
    <t>ES fondu atbalstīto projektu priekšfin. un līdzfinansējums</t>
  </si>
  <si>
    <t>2018.gads</t>
  </si>
  <si>
    <t>JELGAVAS PILSĒTAS PAŠVALDĪBAS 2016.GADA PAMATBUDŽETS ATŠIFRĒJUMĀ PA EKONOMISKĀS KLASIFIKĀCIJAS KODIEM</t>
  </si>
  <si>
    <t>Nosaukums</t>
  </si>
  <si>
    <t>01.000. VISPĀRĒJIE VALDĪBAS DIENESTI</t>
  </si>
  <si>
    <t>Izdevumi kopā</t>
  </si>
  <si>
    <t>1000. Atlīdzība - kopā</t>
  </si>
  <si>
    <t>1100. Atalgojums</t>
  </si>
  <si>
    <t>1200. VSAOI, pabalsti, kompensācijas</t>
  </si>
  <si>
    <t>2000. Preces un pakalpojumi - kopā</t>
  </si>
  <si>
    <t>2100. Mācību, darba un dienesta komandējumi, darba braucieni</t>
  </si>
  <si>
    <t>2200. Pakalpojumi</t>
  </si>
  <si>
    <t>t.sk.2275. Pašvaldību līdzekļi neparedzētiem gadījumiem</t>
  </si>
  <si>
    <t>2300. Krājumi, materiāli, energoresursi, preces, biroja preces un inventārs, kurus neuzskaita kodā 5000</t>
  </si>
  <si>
    <t>2500. Budžeta iestāžu nodokļu, nodevu un naudas sodu maksājumi</t>
  </si>
  <si>
    <t>4000. Procentu izdevumi - kopā</t>
  </si>
  <si>
    <t>4300. Pārējie procentu maksājumi (Valsts kasei)</t>
  </si>
  <si>
    <t>5000. Pamatkapitāla veidošana - kopā</t>
  </si>
  <si>
    <t>5100. Nemateriālie ieguldījumi</t>
  </si>
  <si>
    <t>5200. Pamatlīdzekļi</t>
  </si>
  <si>
    <t>7000. Uzturēšanas izdevumu transferti, pašu resursu maksājumi, starptautiskā sadarbība- kopā</t>
  </si>
  <si>
    <t>7200. Pašvaldību uzturēšanas izdevumu transferti</t>
  </si>
  <si>
    <t>t.sk.7260. Pašvaldības iemaksa pašvaldību finanšu izlīdzināšanas fondā</t>
  </si>
  <si>
    <t>01.111. Izpildvaras institūcija</t>
  </si>
  <si>
    <t>01.113. Projekts - Komunikācija ar sabiedrību tās iesaistei pašvaldības lēmumu pieņemšanā</t>
  </si>
  <si>
    <t>01.114. Projekts - Integrētu teritoriālo investīciju projektu iesniegumu atlases nodrošināšana Jelgavas pilsētas pašvaldībā</t>
  </si>
  <si>
    <t>01.122. Nekustamā īpašuma nodokļa u.c.pašvaldības ieņēmumu administrēšana</t>
  </si>
  <si>
    <t>01.123. P/ie Pašvaldības iestāžu centralizētā grāmatvedība darbības nodrošināšana</t>
  </si>
  <si>
    <t>01.124. Zvērināto auditoru pakalpojumi un grāmatvedības programmas Horizon uzturēšana</t>
  </si>
  <si>
    <t>01.331. Centralizēto datoru un datortīklu uzturēšana</t>
  </si>
  <si>
    <t>01.721. Parāda procentu nomaksa</t>
  </si>
  <si>
    <t>01.831. Transferti citām pašvaldībām izglītības funkciju nodrošināšanai</t>
  </si>
  <si>
    <t>01.832. Transferti citām pašvaldībām sociālās aizsardzības funkciju nodrošināšanai</t>
  </si>
  <si>
    <t>01.833. Iemaksas pašvaldību finanšu izlīdzināšanas fondā</t>
  </si>
  <si>
    <t>01.890.  Izdevumi neparedzētiem gadījumiem</t>
  </si>
  <si>
    <t>03.000. SABIEDRISKĀ KĀRTĪBA UN DROŠĪBA</t>
  </si>
  <si>
    <t>03.111. P/ie Jelgavas pilsētas pašvaldības policija darbības nodrošināšana</t>
  </si>
  <si>
    <t>03.202. P/ie Pašvaldības operatīvās informācijas centrs darbības nodrošināšana</t>
  </si>
  <si>
    <t>03.205. Projekts  - Ikdienas negadījumu un katastrofu novēršana Baltijā</t>
  </si>
  <si>
    <t>04.000. EKONOMISKĀ DARBĪBA</t>
  </si>
  <si>
    <t>3000. Subsīdijas un dotācijas - kopā</t>
  </si>
  <si>
    <t>3200. Subsīdijas un dotācijas komersantiem, biedrībām un nodibinājumiem</t>
  </si>
  <si>
    <t>3300. Subsīdijas komersantiem sabiedriskā transporta pakalpojumu nodrošināšanai (par pasažieru regulārajiem pārvadājumiem)</t>
  </si>
  <si>
    <t>04.511. Ceļu un ielu infrastruktūras funkcionēšana, izmantošana, būvniecība un uzturēšana</t>
  </si>
  <si>
    <t>04.515. Dotācija zaudējumu kompensācijai pašvaldības SIA Jelgavas autobusu parks</t>
  </si>
  <si>
    <t>04.733. P/ie Jelgavas reģionālais tūrisma centrs darbības nodrošināšana</t>
  </si>
  <si>
    <t>04.901. Zemes reformas darbība, zemes īpašuma un lietošanas tiesību pārveidošana</t>
  </si>
  <si>
    <t>04.909. Dotācija Zemgales plānošanas reģionam</t>
  </si>
  <si>
    <t>05.000. VIDES AIZSARDZĪBA</t>
  </si>
  <si>
    <t>05.101. Ielu, laukumu, publisko dārzu un parku tīrīšana, atkritumu savākšana</t>
  </si>
  <si>
    <t>05.102.  Pilsētas sanitārā tīrīšana - SIA Zemgales EKO funkcija</t>
  </si>
  <si>
    <t>05.202. Notekūdeņu apsaimniekošana</t>
  </si>
  <si>
    <t>06.000. TERITORIJU UN MĀJOKĻU APSAIMNIEKOŠANA</t>
  </si>
  <si>
    <t>06.201. Projektu sagatavošana un teritoriju attīstība</t>
  </si>
  <si>
    <t>06.401. Ielu apgaismošana</t>
  </si>
  <si>
    <t>06.601. P/ie Pilsētsaimniecība darbības nodrošināšana</t>
  </si>
  <si>
    <t>06.602. Pašvaldības teritorijas, mežu un kapsētu apsaimniekošana, klaiņojošo dzīvnieku likvidācija</t>
  </si>
  <si>
    <t>06.603. Pašvaldības īpašumu apsaimniekošana - SIA NĪP</t>
  </si>
  <si>
    <t>06.604. Pašvaldības dzīvokļu pārvaldīšana, remonts, veco māju nojaukšana</t>
  </si>
  <si>
    <t>06.606. Ar pašvaldības teritoriju saistīto normatīvo aktu un standartu sagatavošana un ieviešana</t>
  </si>
  <si>
    <t>07.000. VESELĪBA</t>
  </si>
  <si>
    <t>6000. Sociālie pabalsti - kopā</t>
  </si>
  <si>
    <t>6200. Pensijas un sociālie pabalsti naudā</t>
  </si>
  <si>
    <t>6300. Sociālie pabalsti natūrā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</si>
  <si>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</si>
  <si>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</si>
  <si>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</si>
  <si>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</si>
  <si>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08.000. ATPŪTA, KULTŪRA UN RELIĢIJA</t>
  </si>
  <si>
    <t>2400. Izdevumi periodikas iegādei</t>
  </si>
  <si>
    <t>08.101. P/ie Sporta servisa centrs darbības nodrošināšana</t>
  </si>
  <si>
    <t>08.103. Dotācijas sporta pasākumiem</t>
  </si>
  <si>
    <t>08.211. P/ie Jelgavas zinātniskā bibliotēka darbības nodrošināšana</t>
  </si>
  <si>
    <t>08.221. P/ie Jelgavas Ģ.Eliasa Vēstures un mākslas muzejs darbība nodrošināšana</t>
  </si>
  <si>
    <t>08.231. P/ie Kultūra darbības nodrošināšana</t>
  </si>
  <si>
    <t>08.232. P/ie Kultūra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</si>
  <si>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</si>
  <si>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</si>
  <si>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</si>
  <si>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</si>
  <si>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</si>
  <si>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08.331. P/ie Zemgales INFO darbības nodrošināšana</t>
  </si>
  <si>
    <t>08.401. Dotācijas projektu realizācijai NVO</t>
  </si>
  <si>
    <t>08.402. Kultūras padomes finansētie pasākumi</t>
  </si>
  <si>
    <t>08.403. Subsīdija nodibinājumam Kultūras tālākizglītības atbalsta fonds</t>
  </si>
  <si>
    <t>09.000. IZGLĪTĪBA</t>
  </si>
  <si>
    <t>7700. Starptautiskā sadarbība</t>
  </si>
  <si>
    <t>IZGLĪTĪBAS PĀRVALDES IESTĀDES KOPĀ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</si>
  <si>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</si>
  <si>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</si>
  <si>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 un šīs skolas projektu īstenošana - kopsavilkums</t>
  </si>
  <si>
    <t>09.219.3. Jelgavas vispārizglītojošo skolu projektu īstenošana</t>
  </si>
  <si>
    <t>09.222.2. Jelgavas Amatu vidusskolas darbības nodrošināšana</t>
  </si>
  <si>
    <t>09.222.3.Jelgavas Amatu vidusskolas projektu īstenošana - kopsavilkums</t>
  </si>
  <si>
    <t>09.511. Pārējie interešu izglītības pasākumi, t.sk. BJIC Junda</t>
  </si>
  <si>
    <t>09.512. Jelgavas Mākslas skolas darbības nodrošināšana</t>
  </si>
  <si>
    <t>09.518. Bērnu un jauniešu centra JUNDA projektu īstenošana</t>
  </si>
  <si>
    <t>09.811. P/ie Jelgavas izglītības pārvalde darbības nodrošināšana</t>
  </si>
  <si>
    <t>09.218. Projekts - Energoefektīvu risinājumu piemērošana ilgtspējīgām ēkām Jelgavā</t>
  </si>
  <si>
    <t>09.218.01. Projekts  - Enerģētikas konsultantu rekomendācijas zema patēriņa ēkas izbūvei</t>
  </si>
  <si>
    <t>09.513. Jelgavas sporta skolu darbības nodrošināšana</t>
  </si>
  <si>
    <t>09.513.1. Jelgavas Bērnu un jaunatnes sporta skola</t>
  </si>
  <si>
    <t>09.513.2. Jelgavas Specializētā peldēšanas skola</t>
  </si>
  <si>
    <t>09.513.3. Jelgavas Ledus sporta skola</t>
  </si>
  <si>
    <t>09.521. Subsīdija Izglītības atbalsta fondam</t>
  </si>
  <si>
    <t>09.522. Subsīdija J.Bisenieka atbalsta fondam</t>
  </si>
  <si>
    <t>09.531. P/ie Zemgales reģiona Kompetenču attīstības centrs darbības nodrošināšana</t>
  </si>
  <si>
    <t>09.532. P/ie Zemgales reģiona Kompetenču attīstības centrs projektu īstenošana</t>
  </si>
  <si>
    <t>10.000. SOCIĀLĀ AIZSARDZĪBA</t>
  </si>
  <si>
    <t>6400. Pārējie klasifikācijā neminētie maksājumi iedzīvotājiem natūrā un kompensācijas</t>
  </si>
  <si>
    <t>10.122. Dienas aprūpes centrs pilngadīgām personām ar smagiem funkcionāliem traucējumiem</t>
  </si>
  <si>
    <t>10.123. Dienas centrs Integra</t>
  </si>
  <si>
    <t>10.124. Dienas centrs Atbalsts</t>
  </si>
  <si>
    <t>10.125. Grupu dzīvokļi</t>
  </si>
  <si>
    <t>10.202. Palīdzība veciem cilvēkiem</t>
  </si>
  <si>
    <t>10.403. P/ie Jelgavas pilsētas bāriņtiesa darbības nodrošināšana</t>
  </si>
  <si>
    <t>10.407. Projekts - Elastīga bērnu uzraudzības pakalpojuma nodrošināšana darbiniekiem, kas strādā nestandarta darba laiku</t>
  </si>
  <si>
    <t>10.504. Atbalsts Bezdarba gadījumā</t>
  </si>
  <si>
    <t>10.601. Dzīvokļa pabalsts un pabalsts individuālās apkures nodrošināšanai</t>
  </si>
  <si>
    <t>10.701. Sociālā māja un sociālie dzīvokļi</t>
  </si>
  <si>
    <t>10.704. GMI un citi naudas maksājumi maznodrošinātām un neaizsargātām personām</t>
  </si>
  <si>
    <t>10.705.2. JSLP Naktspatversme</t>
  </si>
  <si>
    <t>10.706. P/ie Jelgavas bērnu sociālās aprūpes centrs darbības nodrošināšana</t>
  </si>
  <si>
    <t>10.707. Higiēnas centrs</t>
  </si>
  <si>
    <t>10.709. P/ie Jelgavas bērnu sociālās aprūpes centrs str. Krīzes centrs</t>
  </si>
  <si>
    <t>10.911. P/ie Jelgavas Sociālo lietu pārvalde darbības nodrošināšana</t>
  </si>
  <si>
    <t>10.912. Projekts Lietpratīga pārvaldība un Latvijas pašvaldību veiktspējas uzlabošana</t>
  </si>
  <si>
    <t>10.921. Pabalsti ārkārtas gadījumos, citi pabalsti un maksājumi</t>
  </si>
  <si>
    <t>10.922. Braukšanas maksas atvieglojumi skolēniem sabiedriskajā transportā</t>
  </si>
  <si>
    <t>Aizdevumu pamatsummas atmaksa</t>
  </si>
  <si>
    <t>F40020000 Aizdevumu pamatsummu atmaksa</t>
  </si>
  <si>
    <t>F50020000. Akcijas un cita līdzdalība komersantu pašu kapitālā</t>
  </si>
  <si>
    <t>SIA Zemgales olimpiskais centrs - pamatkapitāla palielināšana</t>
  </si>
  <si>
    <t>F21010000. Naudas līdzekļu atlikums uz perioda beigām</t>
  </si>
  <si>
    <t>KOPĀ izdevumi pēc ekonomiskās klasifikācijas</t>
  </si>
  <si>
    <t>JELGAVAS PILSĒTAS PAŠVALDĪBAS 2016.GADA SPECIĀLAIS BUDŽETS ATŠIFRĒJUMĀ PA EKONOMISKĀS KLASIFIKĀCIJAS KODIEM</t>
  </si>
  <si>
    <t>03.201. Civilās aizsardzības dienests</t>
  </si>
  <si>
    <t>04.501. Mērķdotācija SIA Jelgavas autobusu parks sabiedriskā transporta pakalpojuma nodrošināšanai</t>
  </si>
  <si>
    <t>05.303. Dotācija pašvaldības komersantiem - SB</t>
  </si>
  <si>
    <t>7. pielikums</t>
  </si>
  <si>
    <t>Nekustamā īpašuma nodokļa u.c. pašvaldības ieņēmumu administrēšana</t>
  </si>
  <si>
    <t xml:space="preserve"> P/ie "Pašvaldības iestāžu centralizētā grāmatvedība" darbības nodrošināšana</t>
  </si>
  <si>
    <t>Projekts "Integrēta lietus ūdens pārvaldība"</t>
  </si>
  <si>
    <t>Projekts "Andragoģija: Tālmācības sistēma bibliotekāriem"</t>
  </si>
  <si>
    <t>Projekts "Energoefektīvu risinājumu piemērošana ilgtspējīgām ēkām Jelgavā"</t>
  </si>
  <si>
    <t>P/ie "Jelgavas bērnu sociālās aprūpes centrs" darbības nodrošināšana</t>
  </si>
  <si>
    <t>Higiēnas centrs</t>
  </si>
  <si>
    <t>Projekts "Lietpratīga pārvaldība un Latvijas pašvaldību veiktspējas uzlabošana"</t>
  </si>
  <si>
    <t>Pašvaldību budžetā saņemamtā dotācija no pašvaldību finanšu izlīdzināšanas fonda</t>
  </si>
  <si>
    <t>05.602. Projekts - Integrēta lietus ūdens pārvaldība</t>
  </si>
  <si>
    <t>08.105. Subsīdija nodibinājumam Sporta tālākizglītības atbalsta fonds</t>
  </si>
  <si>
    <t>08.212. Projekts - Andragoģija: Tālmācības sistēma bibliotekāriem</t>
  </si>
  <si>
    <t>08.405. Dotācijas reliģiskajām un citām biedrībām un nodibinājumiem</t>
  </si>
  <si>
    <t>09.812.3. Iestādes Jelgavas izglītības pārvalde iekļaujošas izglītības atbalsta centrs</t>
  </si>
  <si>
    <t>10.121. Invalīdu rehabilitācijas pasākumi, invalīdu transporta izdevumi u.c. kompensācijas</t>
  </si>
  <si>
    <t>10.201. Sociālās un medicīniskās aprūpes centrs</t>
  </si>
  <si>
    <t>10.402. Sociālā palīdzība ģimenēm ar bērniem un vardarbībā cietušo bērnu rehabilitācija</t>
  </si>
  <si>
    <t>Pašvaldības līdzfinansējums biedrībai "Zemgales reģionālās enerģētikas aģentūras"</t>
  </si>
  <si>
    <t>04.905. Pašvaldības līdzfinansējums biedrībai Zemgales reģionālā enerģētikas aģentūra</t>
  </si>
  <si>
    <t>4. pielikums</t>
  </si>
  <si>
    <t>Pamatkapitāla palielināšana SIA "Jelgavas ūdens"</t>
  </si>
  <si>
    <t>SIA Jelgavas ūdens - pamatkapitāla palielināšana</t>
  </si>
  <si>
    <t>SIA Medicīnas sabiedrība Optima - pamatkapitāla palielināšana</t>
  </si>
  <si>
    <t>SAISTOŠAJIEM NOTEIKUMIEM Nr.16-6</t>
  </si>
  <si>
    <t>18.02.2016.prot.Nr.2/1</t>
  </si>
  <si>
    <t>SAISTOŠAJIEM NOTEIKUMIEM Nr. 16-6</t>
  </si>
  <si>
    <t>A Rāviņš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</si>
</sst>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\ _L_s_-;\-* #,##0\ _L_s_-;_-* &quot;-&quot;??\ _L_s_-;_-@_-"/>
    <numFmt numFmtId="182" formatCode="_-* #,##0.0\ _L_s_-;\-* #,##0.0\ _L_s_-;_-* &quot;-&quot;??\ _L_s_-;_-@_-"/>
    <numFmt numFmtId="183" formatCode="0.000%"/>
    <numFmt numFmtId="184" formatCode="0.0%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-* #,##0_-;\-* #,##0_-;_-* &quot;-&quot;??_-;_-@_-"/>
    <numFmt numFmtId="193" formatCode="_-* #,##0.000\ &quot;Ls&quot;_-;\-* #,##0.000\ &quot;Ls&quot;_-;_-* &quot;-&quot;??\ &quot;Ls&quot;_-;_-@_-"/>
    <numFmt numFmtId="194" formatCode="_-* #,##0.0000\ &quot;Ls&quot;_-;\-* #,##0.0000\ &quot;Ls&quot;_-;_-* &quot;-&quot;??\ &quot;Ls&quot;_-;_-@_-"/>
    <numFmt numFmtId="195" formatCode="_-* #,##0.00000\ &quot;Ls&quot;_-;\-* #,##0.00000\ &quot;Ls&quot;_-;_-* &quot;-&quot;??\ &quot;Ls&quot;_-;_-@_-"/>
    <numFmt numFmtId="196" formatCode="_-* #,##0.000000\ &quot;Ls&quot;_-;\-* #,##0.000000\ &quot;Ls&quot;_-;_-* &quot;-&quot;??\ &quot;Ls&quot;_-;_-@_-"/>
    <numFmt numFmtId="197" formatCode="_-* #,##0.0000000\ &quot;Ls&quot;_-;\-* #,##0.0000000\ &quot;Ls&quot;_-;_-* &quot;-&quot;??\ &quot;Ls&quot;_-;_-@_-"/>
    <numFmt numFmtId="198" formatCode="_-* #,##0.000\ _L_s_-;\-* #,##0.000\ _L_s_-;_-* &quot;-&quot;??\ _L_s_-;_-@_-"/>
    <numFmt numFmtId="199" formatCode="_-* #,##0.0000\ _L_s_-;\-* #,##0.0000\ _L_s_-;_-* &quot;-&quot;??\ _L_s_-;_-@_-"/>
    <numFmt numFmtId="200" formatCode="[$-426]dddd\,\ yyyy&quot;. gada &quot;d\.\ mmmm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?_-;_-@_-"/>
    <numFmt numFmtId="206" formatCode="_-* #,##0.0\ &quot;Ls&quot;_-;\-* #,##0.0\ &quot;Ls&quot;_-;_-* &quot;-&quot;??\ &quot;Ls&quot;_-;_-@_-"/>
    <numFmt numFmtId="207" formatCode="_-* #,##0\ &quot;Ls&quot;_-;\-* #,##0\ &quot;Ls&quot;_-;_-* &quot;-&quot;??\ &quot;Ls&quot;_-;_-@_-"/>
    <numFmt numFmtId="208" formatCode="[$€-2]\ #,##0.00_);[Red]\([$€-2]\ #,##0.00\)"/>
    <numFmt numFmtId="209" formatCode="0.000000000"/>
    <numFmt numFmtId="210" formatCode="_-* #,##0.000000_-;\-* #,##0.000000_-;_-* &quot;-&quot;??????_-;_-@_-"/>
    <numFmt numFmtId="211" formatCode="[$€-2]\ #,##0.00"/>
    <numFmt numFmtId="212" formatCode="[$€-2]\ #,##0.0"/>
    <numFmt numFmtId="213" formatCode="[$€-2]\ #,##0"/>
    <numFmt numFmtId="214" formatCode="[$€-2]\ #,##0.00;\-[$€-2]\ #,##0.00"/>
    <numFmt numFmtId="215" formatCode="mmm/yyyy"/>
    <numFmt numFmtId="216" formatCode="#,##0.0"/>
    <numFmt numFmtId="217" formatCode="#,##0.00_ ;\-#,##0.00\ "/>
    <numFmt numFmtId="218" formatCode="#,##0.000"/>
  </numFmts>
  <fonts count="7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3"/>
      <name val="Arial"/>
      <family val="2"/>
    </font>
    <font>
      <b/>
      <i/>
      <sz val="11"/>
      <name val="Times New Roman"/>
      <family val="1"/>
    </font>
    <font>
      <i/>
      <sz val="11"/>
      <name val="Times New Roman Baltic"/>
      <family val="0"/>
    </font>
    <font>
      <b/>
      <sz val="11"/>
      <name val="Times New Roman Baltic"/>
      <family val="0"/>
    </font>
    <font>
      <sz val="10"/>
      <name val="Times New Roman Baltic"/>
      <family val="1"/>
    </font>
    <font>
      <b/>
      <sz val="11"/>
      <name val="Arial"/>
      <family val="2"/>
    </font>
    <font>
      <sz val="14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 style="thin">
        <color theme="0" tint="-0.149959996342659"/>
      </left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/>
      <top/>
      <bottom style="thin"/>
    </border>
    <border>
      <left style="thin"/>
      <right style="thin">
        <color indexed="22"/>
      </right>
      <top style="thin"/>
      <bottom style="thin"/>
    </border>
    <border>
      <left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theme="0" tint="-0.24993999302387238"/>
      </left>
      <right style="thin"/>
      <top style="thin"/>
      <bottom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>
        <color indexed="22"/>
      </left>
      <right style="thin"/>
      <top/>
      <bottom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double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149959996342659"/>
      </left>
      <right style="thin">
        <color theme="0" tint="-0.24993999302387238"/>
      </right>
      <top style="thin"/>
      <bottom/>
    </border>
    <border>
      <left style="thin">
        <color theme="0" tint="-0.149959996342659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>
        <color theme="0" tint="-0.149959996342659"/>
      </right>
      <top style="thin"/>
      <bottom/>
    </border>
    <border>
      <left style="thin">
        <color theme="0" tint="-0.24993999302387238"/>
      </left>
      <right style="thin">
        <color theme="0" tint="-0.149959996342659"/>
      </right>
      <top/>
      <bottom style="thin"/>
    </border>
    <border>
      <left/>
      <right/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42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7" borderId="10" xfId="0" applyFont="1" applyFill="1" applyBorder="1" applyAlignment="1">
      <alignment vertical="center" wrapText="1"/>
    </xf>
    <xf numFmtId="3" fontId="13" fillId="7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wrapText="1" indent="2"/>
    </xf>
    <xf numFmtId="0" fontId="14" fillId="0" borderId="10" xfId="0" applyFont="1" applyBorder="1" applyAlignment="1">
      <alignment horizontal="left" wrapText="1" indent="2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left" wrapText="1" indent="2"/>
    </xf>
    <xf numFmtId="0" fontId="12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3" fontId="1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191" fontId="4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39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5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3" fontId="5" fillId="7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/>
    </xf>
    <xf numFmtId="0" fontId="13" fillId="11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3" fontId="41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right" wrapText="1"/>
    </xf>
    <xf numFmtId="0" fontId="13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67" fillId="0" borderId="0" xfId="0" applyFont="1" applyAlignment="1">
      <alignment/>
    </xf>
    <xf numFmtId="0" fontId="65" fillId="0" borderId="10" xfId="0" applyFont="1" applyBorder="1" applyAlignment="1">
      <alignment vertical="center" wrapText="1"/>
    </xf>
    <xf numFmtId="3" fontId="65" fillId="0" borderId="10" xfId="0" applyNumberFormat="1" applyFont="1" applyBorder="1" applyAlignment="1">
      <alignment horizontal="right" vertical="center" wrapText="1"/>
    </xf>
    <xf numFmtId="3" fontId="65" fillId="0" borderId="10" xfId="0" applyNumberFormat="1" applyFont="1" applyBorder="1" applyAlignment="1">
      <alignment horizontal="right" vertical="center"/>
    </xf>
    <xf numFmtId="3" fontId="65" fillId="0" borderId="10" xfId="0" applyNumberFormat="1" applyFont="1" applyBorder="1" applyAlignment="1">
      <alignment horizontal="right"/>
    </xf>
    <xf numFmtId="0" fontId="65" fillId="0" borderId="10" xfId="0" applyFont="1" applyFill="1" applyBorder="1" applyAlignment="1">
      <alignment vertical="center" wrapText="1"/>
    </xf>
    <xf numFmtId="3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5" fillId="25" borderId="0" xfId="0" applyFont="1" applyFill="1" applyAlignment="1">
      <alignment horizontal="center"/>
    </xf>
    <xf numFmtId="0" fontId="67" fillId="25" borderId="10" xfId="0" applyFont="1" applyFill="1" applyBorder="1" applyAlignment="1">
      <alignment horizontal="center" vertical="center" wrapText="1"/>
    </xf>
    <xf numFmtId="3" fontId="67" fillId="25" borderId="10" xfId="0" applyNumberFormat="1" applyFont="1" applyFill="1" applyBorder="1" applyAlignment="1">
      <alignment/>
    </xf>
    <xf numFmtId="0" fontId="67" fillId="25" borderId="10" xfId="0" applyFont="1" applyFill="1" applyBorder="1" applyAlignment="1">
      <alignment horizontal="center"/>
    </xf>
    <xf numFmtId="3" fontId="67" fillId="25" borderId="10" xfId="0" applyNumberFormat="1" applyFont="1" applyFill="1" applyBorder="1" applyAlignment="1">
      <alignment horizontal="right" vertical="center" wrapText="1"/>
    </xf>
    <xf numFmtId="0" fontId="67" fillId="26" borderId="10" xfId="0" applyFont="1" applyFill="1" applyBorder="1" applyAlignment="1">
      <alignment horizontal="center" vertical="center"/>
    </xf>
    <xf numFmtId="0" fontId="65" fillId="26" borderId="10" xfId="0" applyFont="1" applyFill="1" applyBorder="1" applyAlignment="1">
      <alignment horizontal="center" vertical="center"/>
    </xf>
    <xf numFmtId="0" fontId="67" fillId="26" borderId="11" xfId="0" applyFont="1" applyFill="1" applyBorder="1" applyAlignment="1">
      <alignment horizontal="center" vertical="center" wrapText="1"/>
    </xf>
    <xf numFmtId="0" fontId="67" fillId="26" borderId="11" xfId="0" applyFont="1" applyFill="1" applyBorder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5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wrapText="1"/>
    </xf>
    <xf numFmtId="3" fontId="3" fillId="7" borderId="10" xfId="0" applyNumberFormat="1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13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7" borderId="10" xfId="0" applyFont="1" applyFill="1" applyBorder="1" applyAlignment="1">
      <alignment horizontal="center" wrapText="1"/>
    </xf>
    <xf numFmtId="3" fontId="11" fillId="7" borderId="10" xfId="0" applyNumberFormat="1" applyFont="1" applyFill="1" applyBorder="1" applyAlignment="1">
      <alignment/>
    </xf>
    <xf numFmtId="0" fontId="5" fillId="11" borderId="10" xfId="0" applyFont="1" applyFill="1" applyBorder="1" applyAlignment="1">
      <alignment horizontal="center" wrapText="1"/>
    </xf>
    <xf numFmtId="3" fontId="4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right" wrapText="1"/>
    </xf>
    <xf numFmtId="0" fontId="40" fillId="0" borderId="10" xfId="0" applyFont="1" applyFill="1" applyBorder="1" applyAlignment="1">
      <alignment horizontal="left" vertical="center" wrapText="1" indent="1"/>
    </xf>
    <xf numFmtId="0" fontId="41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51" fillId="26" borderId="12" xfId="0" applyFont="1" applyFill="1" applyBorder="1" applyAlignment="1">
      <alignment horizontal="center" vertical="center"/>
    </xf>
    <xf numFmtId="0" fontId="51" fillId="11" borderId="12" xfId="0" applyFont="1" applyFill="1" applyBorder="1" applyAlignment="1">
      <alignment vertical="center"/>
    </xf>
    <xf numFmtId="4" fontId="51" fillId="11" borderId="12" xfId="0" applyNumberFormat="1" applyFont="1" applyFill="1" applyBorder="1" applyAlignment="1">
      <alignment vertical="center"/>
    </xf>
    <xf numFmtId="0" fontId="51" fillId="11" borderId="13" xfId="0" applyFont="1" applyFill="1" applyBorder="1" applyAlignment="1">
      <alignment vertical="center"/>
    </xf>
    <xf numFmtId="0" fontId="51" fillId="11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26" borderId="15" xfId="0" applyFont="1" applyFill="1" applyBorder="1" applyAlignment="1">
      <alignment horizontal="center" vertical="center"/>
    </xf>
    <xf numFmtId="3" fontId="51" fillId="26" borderId="16" xfId="0" applyNumberFormat="1" applyFont="1" applyFill="1" applyBorder="1" applyAlignment="1">
      <alignment horizontal="center" vertical="center"/>
    </xf>
    <xf numFmtId="0" fontId="51" fillId="26" borderId="17" xfId="0" applyFont="1" applyFill="1" applyBorder="1" applyAlignment="1">
      <alignment horizontal="center" vertical="center"/>
    </xf>
    <xf numFmtId="0" fontId="51" fillId="11" borderId="18" xfId="0" applyFont="1" applyFill="1" applyBorder="1" applyAlignment="1">
      <alignment horizontal="center" vertical="center"/>
    </xf>
    <xf numFmtId="0" fontId="45" fillId="0" borderId="19" xfId="62" applyFont="1" applyFill="1" applyBorder="1" applyAlignment="1">
      <alignment horizontal="center" wrapText="1"/>
      <protection/>
    </xf>
    <xf numFmtId="0" fontId="45" fillId="0" borderId="19" xfId="62" applyFont="1" applyFill="1" applyBorder="1" applyAlignment="1">
      <alignment horizontal="center"/>
      <protection/>
    </xf>
    <xf numFmtId="0" fontId="45" fillId="0" borderId="19" xfId="63" applyFont="1" applyFill="1" applyBorder="1" applyAlignment="1">
      <alignment horizontal="center" wrapText="1"/>
      <protection/>
    </xf>
    <xf numFmtId="4" fontId="45" fillId="0" borderId="19" xfId="62" applyNumberFormat="1" applyFont="1" applyFill="1" applyBorder="1">
      <alignment/>
      <protection/>
    </xf>
    <xf numFmtId="4" fontId="45" fillId="0" borderId="19" xfId="0" applyNumberFormat="1" applyFont="1" applyFill="1" applyBorder="1" applyAlignment="1">
      <alignment/>
    </xf>
    <xf numFmtId="4" fontId="52" fillId="0" borderId="19" xfId="63" applyNumberFormat="1" applyFont="1" applyFill="1" applyBorder="1">
      <alignment/>
      <protection/>
    </xf>
    <xf numFmtId="4" fontId="45" fillId="27" borderId="20" xfId="62" applyNumberFormat="1" applyFont="1" applyFill="1" applyBorder="1">
      <alignment/>
      <protection/>
    </xf>
    <xf numFmtId="0" fontId="0" fillId="0" borderId="0" xfId="62" applyFill="1">
      <alignment/>
      <protection/>
    </xf>
    <xf numFmtId="0" fontId="45" fillId="0" borderId="21" xfId="62" applyFont="1" applyFill="1" applyBorder="1" applyAlignment="1">
      <alignment horizontal="center" wrapText="1"/>
      <protection/>
    </xf>
    <xf numFmtId="0" fontId="45" fillId="0" borderId="21" xfId="62" applyFont="1" applyFill="1" applyBorder="1" applyAlignment="1">
      <alignment horizontal="center"/>
      <protection/>
    </xf>
    <xf numFmtId="183" fontId="45" fillId="0" borderId="21" xfId="63" applyNumberFormat="1" applyFont="1" applyFill="1" applyBorder="1" applyAlignment="1">
      <alignment horizontal="center"/>
      <protection/>
    </xf>
    <xf numFmtId="4" fontId="52" fillId="0" borderId="21" xfId="62" applyNumberFormat="1" applyFont="1" applyFill="1" applyBorder="1">
      <alignment/>
      <protection/>
    </xf>
    <xf numFmtId="4" fontId="52" fillId="0" borderId="21" xfId="63" applyNumberFormat="1" applyFont="1" applyFill="1" applyBorder="1">
      <alignment/>
      <protection/>
    </xf>
    <xf numFmtId="4" fontId="45" fillId="27" borderId="22" xfId="62" applyNumberFormat="1" applyFont="1" applyFill="1" applyBorder="1">
      <alignment/>
      <protection/>
    </xf>
    <xf numFmtId="0" fontId="45" fillId="0" borderId="23" xfId="62" applyFont="1" applyFill="1" applyBorder="1" applyAlignment="1">
      <alignment horizontal="center" wrapText="1"/>
      <protection/>
    </xf>
    <xf numFmtId="14" fontId="45" fillId="0" borderId="23" xfId="62" applyNumberFormat="1" applyFont="1" applyFill="1" applyBorder="1" applyAlignment="1">
      <alignment horizontal="center"/>
      <protection/>
    </xf>
    <xf numFmtId="0" fontId="45" fillId="0" borderId="23" xfId="63" applyFont="1" applyFill="1" applyBorder="1" applyAlignment="1">
      <alignment horizontal="center" wrapText="1"/>
      <protection/>
    </xf>
    <xf numFmtId="4" fontId="45" fillId="0" borderId="23" xfId="62" applyNumberFormat="1" applyFont="1" applyFill="1" applyBorder="1">
      <alignment/>
      <protection/>
    </xf>
    <xf numFmtId="4" fontId="45" fillId="0" borderId="23" xfId="63" applyNumberFormat="1" applyFont="1" applyFill="1" applyBorder="1">
      <alignment/>
      <protection/>
    </xf>
    <xf numFmtId="4" fontId="52" fillId="0" borderId="23" xfId="63" applyNumberFormat="1" applyFont="1" applyFill="1" applyBorder="1">
      <alignment/>
      <protection/>
    </xf>
    <xf numFmtId="4" fontId="45" fillId="27" borderId="24" xfId="62" applyNumberFormat="1" applyFont="1" applyFill="1" applyBorder="1">
      <alignment/>
      <protection/>
    </xf>
    <xf numFmtId="0" fontId="45" fillId="0" borderId="25" xfId="62" applyFont="1" applyFill="1" applyBorder="1" applyAlignment="1">
      <alignment horizontal="center" wrapText="1"/>
      <protection/>
    </xf>
    <xf numFmtId="0" fontId="45" fillId="0" borderId="25" xfId="62" applyFont="1" applyFill="1" applyBorder="1" applyAlignment="1">
      <alignment horizontal="center"/>
      <protection/>
    </xf>
    <xf numFmtId="183" fontId="45" fillId="0" borderId="25" xfId="63" applyNumberFormat="1" applyFont="1" applyFill="1" applyBorder="1" applyAlignment="1">
      <alignment horizontal="center"/>
      <protection/>
    </xf>
    <xf numFmtId="3" fontId="52" fillId="0" borderId="25" xfId="62" applyNumberFormat="1" applyFont="1" applyFill="1" applyBorder="1">
      <alignment/>
      <protection/>
    </xf>
    <xf numFmtId="4" fontId="52" fillId="0" borderId="25" xfId="63" applyNumberFormat="1" applyFont="1" applyFill="1" applyBorder="1">
      <alignment/>
      <protection/>
    </xf>
    <xf numFmtId="4" fontId="45" fillId="27" borderId="26" xfId="62" applyNumberFormat="1" applyFont="1" applyFill="1" applyBorder="1">
      <alignment/>
      <protection/>
    </xf>
    <xf numFmtId="4" fontId="45" fillId="0" borderId="19" xfId="63" applyNumberFormat="1" applyFont="1" applyFill="1" applyBorder="1">
      <alignment/>
      <protection/>
    </xf>
    <xf numFmtId="1" fontId="52" fillId="0" borderId="21" xfId="62" applyNumberFormat="1" applyFont="1" applyFill="1" applyBorder="1">
      <alignment/>
      <protection/>
    </xf>
    <xf numFmtId="0" fontId="45" fillId="0" borderId="23" xfId="62" applyFont="1" applyFill="1" applyBorder="1" applyAlignment="1">
      <alignment horizontal="center"/>
      <protection/>
    </xf>
    <xf numFmtId="1" fontId="52" fillId="0" borderId="25" xfId="62" applyNumberFormat="1" applyFont="1" applyFill="1" applyBorder="1">
      <alignment/>
      <protection/>
    </xf>
    <xf numFmtId="3" fontId="52" fillId="0" borderId="21" xfId="62" applyNumberFormat="1" applyFont="1" applyFill="1" applyBorder="1">
      <alignment/>
      <protection/>
    </xf>
    <xf numFmtId="14" fontId="45" fillId="0" borderId="25" xfId="62" applyNumberFormat="1" applyFont="1" applyFill="1" applyBorder="1" applyAlignment="1">
      <alignment horizontal="center"/>
      <protection/>
    </xf>
    <xf numFmtId="3" fontId="45" fillId="0" borderId="23" xfId="62" applyNumberFormat="1" applyFont="1" applyFill="1" applyBorder="1">
      <alignment/>
      <protection/>
    </xf>
    <xf numFmtId="14" fontId="45" fillId="0" borderId="19" xfId="62" applyNumberFormat="1" applyFont="1" applyFill="1" applyBorder="1" applyAlignment="1">
      <alignment horizontal="center"/>
      <protection/>
    </xf>
    <xf numFmtId="4" fontId="45" fillId="0" borderId="23" xfId="62" applyNumberFormat="1" applyFont="1" applyFill="1" applyBorder="1" quotePrefix="1">
      <alignment/>
      <protection/>
    </xf>
    <xf numFmtId="0" fontId="0" fillId="0" borderId="0" xfId="62" applyFont="1" applyFill="1">
      <alignment/>
      <protection/>
    </xf>
    <xf numFmtId="14" fontId="45" fillId="0" borderId="21" xfId="62" applyNumberFormat="1" applyFont="1" applyFill="1" applyBorder="1" applyAlignment="1">
      <alignment horizontal="center"/>
      <protection/>
    </xf>
    <xf numFmtId="10" fontId="45" fillId="0" borderId="19" xfId="63" applyNumberFormat="1" applyFont="1" applyFill="1" applyBorder="1" applyAlignment="1">
      <alignment horizontal="center"/>
      <protection/>
    </xf>
    <xf numFmtId="10" fontId="45" fillId="0" borderId="23" xfId="63" applyNumberFormat="1" applyFont="1" applyFill="1" applyBorder="1" applyAlignment="1">
      <alignment horizontal="center"/>
      <protection/>
    </xf>
    <xf numFmtId="4" fontId="52" fillId="0" borderId="19" xfId="62" applyNumberFormat="1" applyFont="1" applyFill="1" applyBorder="1">
      <alignment/>
      <protection/>
    </xf>
    <xf numFmtId="4" fontId="52" fillId="0" borderId="23" xfId="62" applyNumberFormat="1" applyFont="1" applyFill="1" applyBorder="1">
      <alignment/>
      <protection/>
    </xf>
    <xf numFmtId="0" fontId="0" fillId="0" borderId="0" xfId="0" applyFill="1" applyAlignment="1">
      <alignment/>
    </xf>
    <xf numFmtId="0" fontId="52" fillId="0" borderId="19" xfId="0" applyFont="1" applyFill="1" applyBorder="1" applyAlignment="1">
      <alignment/>
    </xf>
    <xf numFmtId="4" fontId="52" fillId="0" borderId="19" xfId="0" applyNumberFormat="1" applyFont="1" applyFill="1" applyBorder="1" applyAlignment="1">
      <alignment/>
    </xf>
    <xf numFmtId="1" fontId="52" fillId="0" borderId="21" xfId="0" applyNumberFormat="1" applyFont="1" applyFill="1" applyBorder="1" applyAlignment="1">
      <alignment/>
    </xf>
    <xf numFmtId="4" fontId="52" fillId="0" borderId="21" xfId="0" applyNumberFormat="1" applyFont="1" applyFill="1" applyBorder="1" applyAlignment="1">
      <alignment/>
    </xf>
    <xf numFmtId="0" fontId="52" fillId="0" borderId="23" xfId="0" applyFont="1" applyFill="1" applyBorder="1" applyAlignment="1">
      <alignment/>
    </xf>
    <xf numFmtId="4" fontId="52" fillId="0" borderId="23" xfId="0" applyNumberFormat="1" applyFont="1" applyFill="1" applyBorder="1" applyAlignment="1">
      <alignment/>
    </xf>
    <xf numFmtId="1" fontId="52" fillId="0" borderId="25" xfId="0" applyNumberFormat="1" applyFont="1" applyFill="1" applyBorder="1" applyAlignment="1">
      <alignment/>
    </xf>
    <xf numFmtId="4" fontId="52" fillId="0" borderId="25" xfId="0" applyNumberFormat="1" applyFont="1" applyFill="1" applyBorder="1" applyAlignment="1">
      <alignment/>
    </xf>
    <xf numFmtId="3" fontId="52" fillId="0" borderId="23" xfId="0" applyNumberFormat="1" applyFont="1" applyFill="1" applyBorder="1" applyAlignment="1">
      <alignment/>
    </xf>
    <xf numFmtId="3" fontId="52" fillId="0" borderId="23" xfId="62" applyNumberFormat="1" applyFont="1" applyFill="1" applyBorder="1">
      <alignment/>
      <protection/>
    </xf>
    <xf numFmtId="10" fontId="45" fillId="0" borderId="19" xfId="0" applyNumberFormat="1" applyFont="1" applyFill="1" applyBorder="1" applyAlignment="1">
      <alignment horizontal="center"/>
    </xf>
    <xf numFmtId="183" fontId="45" fillId="0" borderId="21" xfId="0" applyNumberFormat="1" applyFont="1" applyFill="1" applyBorder="1" applyAlignment="1">
      <alignment horizontal="center"/>
    </xf>
    <xf numFmtId="3" fontId="52" fillId="0" borderId="21" xfId="0" applyNumberFormat="1" applyFont="1" applyFill="1" applyBorder="1" applyAlignment="1">
      <alignment/>
    </xf>
    <xf numFmtId="10" fontId="45" fillId="0" borderId="23" xfId="0" applyNumberFormat="1" applyFont="1" applyFill="1" applyBorder="1" applyAlignment="1">
      <alignment horizontal="center"/>
    </xf>
    <xf numFmtId="183" fontId="45" fillId="0" borderId="25" xfId="0" applyNumberFormat="1" applyFont="1" applyFill="1" applyBorder="1" applyAlignment="1">
      <alignment horizontal="center"/>
    </xf>
    <xf numFmtId="3" fontId="52" fillId="0" borderId="25" xfId="0" applyNumberFormat="1" applyFont="1" applyFill="1" applyBorder="1" applyAlignment="1">
      <alignment/>
    </xf>
    <xf numFmtId="4" fontId="45" fillId="0" borderId="23" xfId="46" applyNumberFormat="1" applyFont="1" applyFill="1" applyBorder="1" applyAlignment="1">
      <alignment horizontal="right" vertical="center"/>
    </xf>
    <xf numFmtId="0" fontId="45" fillId="0" borderId="25" xfId="63" applyFont="1" applyFill="1" applyBorder="1" applyAlignment="1">
      <alignment horizontal="center" wrapText="1"/>
      <protection/>
    </xf>
    <xf numFmtId="3" fontId="52" fillId="0" borderId="25" xfId="46" applyNumberFormat="1" applyFont="1" applyFill="1" applyBorder="1" applyAlignment="1">
      <alignment horizontal="right" vertical="center"/>
    </xf>
    <xf numFmtId="4" fontId="52" fillId="0" borderId="25" xfId="46" applyNumberFormat="1" applyFont="1" applyFill="1" applyBorder="1" applyAlignment="1">
      <alignment horizontal="right" vertical="center"/>
    </xf>
    <xf numFmtId="4" fontId="45" fillId="0" borderId="19" xfId="46" applyNumberFormat="1" applyFont="1" applyFill="1" applyBorder="1" applyAlignment="1">
      <alignment horizontal="right" vertical="center"/>
    </xf>
    <xf numFmtId="0" fontId="45" fillId="0" borderId="21" xfId="63" applyFont="1" applyFill="1" applyBorder="1" applyAlignment="1">
      <alignment horizontal="center" wrapText="1"/>
      <protection/>
    </xf>
    <xf numFmtId="3" fontId="52" fillId="0" borderId="21" xfId="46" applyNumberFormat="1" applyFont="1" applyFill="1" applyBorder="1" applyAlignment="1">
      <alignment horizontal="right" vertical="center"/>
    </xf>
    <xf numFmtId="4" fontId="52" fillId="0" borderId="21" xfId="46" applyNumberFormat="1" applyFont="1" applyFill="1" applyBorder="1" applyAlignment="1">
      <alignment horizontal="right" vertical="center"/>
    </xf>
    <xf numFmtId="3" fontId="52" fillId="0" borderId="19" xfId="0" applyNumberFormat="1" applyFont="1" applyFill="1" applyBorder="1" applyAlignment="1">
      <alignment/>
    </xf>
    <xf numFmtId="10" fontId="45" fillId="0" borderId="27" xfId="0" applyNumberFormat="1" applyFont="1" applyFill="1" applyBorder="1" applyAlignment="1">
      <alignment horizontal="center"/>
    </xf>
    <xf numFmtId="3" fontId="52" fillId="0" borderId="27" xfId="0" applyNumberFormat="1" applyFont="1" applyFill="1" applyBorder="1" applyAlignment="1">
      <alignment/>
    </xf>
    <xf numFmtId="4" fontId="52" fillId="0" borderId="27" xfId="0" applyNumberFormat="1" applyFont="1" applyFill="1" applyBorder="1" applyAlignment="1">
      <alignment/>
    </xf>
    <xf numFmtId="10" fontId="45" fillId="0" borderId="28" xfId="0" applyNumberFormat="1" applyFont="1" applyFill="1" applyBorder="1" applyAlignment="1">
      <alignment horizontal="center"/>
    </xf>
    <xf numFmtId="3" fontId="52" fillId="0" borderId="28" xfId="0" applyNumberFormat="1" applyFont="1" applyFill="1" applyBorder="1" applyAlignment="1">
      <alignment/>
    </xf>
    <xf numFmtId="4" fontId="52" fillId="0" borderId="28" xfId="0" applyNumberFormat="1" applyFont="1" applyFill="1" applyBorder="1" applyAlignment="1">
      <alignment/>
    </xf>
    <xf numFmtId="10" fontId="45" fillId="0" borderId="29" xfId="0" applyNumberFormat="1" applyFont="1" applyFill="1" applyBorder="1" applyAlignment="1">
      <alignment horizontal="center"/>
    </xf>
    <xf numFmtId="3" fontId="52" fillId="0" borderId="29" xfId="0" applyNumberFormat="1" applyFont="1" applyFill="1" applyBorder="1" applyAlignment="1">
      <alignment/>
    </xf>
    <xf numFmtId="4" fontId="52" fillId="0" borderId="29" xfId="0" applyNumberFormat="1" applyFont="1" applyFill="1" applyBorder="1" applyAlignment="1">
      <alignment/>
    </xf>
    <xf numFmtId="10" fontId="45" fillId="0" borderId="30" xfId="0" applyNumberFormat="1" applyFont="1" applyFill="1" applyBorder="1" applyAlignment="1">
      <alignment horizontal="center"/>
    </xf>
    <xf numFmtId="3" fontId="52" fillId="0" borderId="30" xfId="0" applyNumberFormat="1" applyFont="1" applyFill="1" applyBorder="1" applyAlignment="1">
      <alignment/>
    </xf>
    <xf numFmtId="4" fontId="52" fillId="0" borderId="30" xfId="0" applyNumberFormat="1" applyFont="1" applyFill="1" applyBorder="1" applyAlignment="1">
      <alignment/>
    </xf>
    <xf numFmtId="0" fontId="45" fillId="22" borderId="31" xfId="0" applyFont="1" applyFill="1" applyBorder="1" applyAlignment="1">
      <alignment/>
    </xf>
    <xf numFmtId="181" fontId="53" fillId="22" borderId="19" xfId="0" applyNumberFormat="1" applyFont="1" applyFill="1" applyBorder="1" applyAlignment="1">
      <alignment horizontal="center"/>
    </xf>
    <xf numFmtId="4" fontId="53" fillId="22" borderId="19" xfId="0" applyNumberFormat="1" applyFont="1" applyFill="1" applyBorder="1" applyAlignment="1">
      <alignment horizontal="center"/>
    </xf>
    <xf numFmtId="4" fontId="53" fillId="22" borderId="20" xfId="0" applyNumberFormat="1" applyFont="1" applyFill="1" applyBorder="1" applyAlignment="1">
      <alignment horizontal="center"/>
    </xf>
    <xf numFmtId="0" fontId="45" fillId="22" borderId="32" xfId="0" applyFont="1" applyFill="1" applyBorder="1" applyAlignment="1">
      <alignment horizontal="center"/>
    </xf>
    <xf numFmtId="0" fontId="49" fillId="22" borderId="33" xfId="0" applyFont="1" applyFill="1" applyBorder="1" applyAlignment="1">
      <alignment horizontal="right"/>
    </xf>
    <xf numFmtId="4" fontId="53" fillId="22" borderId="33" xfId="0" applyNumberFormat="1" applyFont="1" applyFill="1" applyBorder="1" applyAlignment="1">
      <alignment horizontal="center"/>
    </xf>
    <xf numFmtId="4" fontId="53" fillId="28" borderId="33" xfId="0" applyNumberFormat="1" applyFont="1" applyFill="1" applyBorder="1" applyAlignment="1">
      <alignment horizontal="center"/>
    </xf>
    <xf numFmtId="0" fontId="53" fillId="22" borderId="34" xfId="0" applyFont="1" applyFill="1" applyBorder="1" applyAlignment="1">
      <alignment horizontal="center"/>
    </xf>
    <xf numFmtId="0" fontId="53" fillId="22" borderId="35" xfId="0" applyFont="1" applyFill="1" applyBorder="1" applyAlignment="1">
      <alignment horizontal="center"/>
    </xf>
    <xf numFmtId="181" fontId="53" fillId="22" borderId="35" xfId="0" applyNumberFormat="1" applyFont="1" applyFill="1" applyBorder="1" applyAlignment="1">
      <alignment/>
    </xf>
    <xf numFmtId="4" fontId="53" fillId="22" borderId="35" xfId="0" applyNumberFormat="1" applyFont="1" applyFill="1" applyBorder="1" applyAlignment="1">
      <alignment/>
    </xf>
    <xf numFmtId="181" fontId="53" fillId="22" borderId="36" xfId="0" applyNumberFormat="1" applyFont="1" applyFill="1" applyBorder="1" applyAlignment="1">
      <alignment/>
    </xf>
    <xf numFmtId="0" fontId="2" fillId="28" borderId="37" xfId="0" applyFont="1" applyFill="1" applyBorder="1" applyAlignment="1">
      <alignment/>
    </xf>
    <xf numFmtId="0" fontId="49" fillId="28" borderId="38" xfId="0" applyFont="1" applyFill="1" applyBorder="1" applyAlignment="1">
      <alignment horizontal="left"/>
    </xf>
    <xf numFmtId="0" fontId="49" fillId="28" borderId="38" xfId="0" applyFont="1" applyFill="1" applyBorder="1" applyAlignment="1">
      <alignment/>
    </xf>
    <xf numFmtId="3" fontId="49" fillId="28" borderId="39" xfId="63" applyNumberFormat="1" applyFont="1" applyFill="1" applyBorder="1" applyAlignment="1">
      <alignment/>
      <protection/>
    </xf>
    <xf numFmtId="0" fontId="49" fillId="22" borderId="40" xfId="0" applyFont="1" applyFill="1" applyBorder="1" applyAlignment="1">
      <alignment horizontal="center"/>
    </xf>
    <xf numFmtId="10" fontId="46" fillId="22" borderId="40" xfId="76" applyNumberFormat="1" applyFont="1" applyFill="1" applyBorder="1" applyAlignment="1">
      <alignment/>
    </xf>
    <xf numFmtId="10" fontId="46" fillId="22" borderId="40" xfId="77" applyNumberFormat="1" applyFont="1" applyFill="1" applyBorder="1" applyAlignment="1">
      <alignment/>
    </xf>
    <xf numFmtId="10" fontId="46" fillId="22" borderId="41" xfId="76" applyNumberFormat="1" applyFont="1" applyFill="1" applyBorder="1" applyAlignment="1">
      <alignment/>
    </xf>
    <xf numFmtId="10" fontId="46" fillId="22" borderId="42" xfId="76" applyNumberFormat="1" applyFont="1" applyFill="1" applyBorder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43" fontId="54" fillId="0" borderId="0" xfId="0" applyNumberFormat="1" applyFont="1" applyAlignment="1">
      <alignment/>
    </xf>
    <xf numFmtId="4" fontId="50" fillId="29" borderId="0" xfId="0" applyNumberFormat="1" applyFont="1" applyFill="1" applyAlignment="1">
      <alignment horizontal="center" vertical="center"/>
    </xf>
    <xf numFmtId="4" fontId="50" fillId="0" borderId="0" xfId="0" applyNumberFormat="1" applyFont="1" applyFill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Fill="1" applyAlignment="1">
      <alignment/>
    </xf>
    <xf numFmtId="4" fontId="50" fillId="29" borderId="0" xfId="0" applyNumberFormat="1" applyFont="1" applyFill="1" applyAlignment="1">
      <alignment horizontal="right" vertical="center"/>
    </xf>
    <xf numFmtId="4" fontId="50" fillId="0" borderId="0" xfId="0" applyNumberFormat="1" applyFont="1" applyFill="1" applyAlignment="1">
      <alignment horizontal="right"/>
    </xf>
    <xf numFmtId="4" fontId="45" fillId="0" borderId="0" xfId="0" applyNumberFormat="1" applyFont="1" applyAlignment="1">
      <alignment horizontal="right"/>
    </xf>
    <xf numFmtId="4" fontId="45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4" fontId="5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1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4" fontId="50" fillId="0" borderId="0" xfId="0" applyNumberFormat="1" applyFont="1" applyAlignment="1">
      <alignment horizontal="center" vertical="center"/>
    </xf>
    <xf numFmtId="4" fontId="50" fillId="0" borderId="0" xfId="0" applyNumberFormat="1" applyFont="1" applyAlignment="1">
      <alignment/>
    </xf>
    <xf numFmtId="181" fontId="50" fillId="0" borderId="0" xfId="0" applyNumberFormat="1" applyFont="1" applyAlignment="1">
      <alignment/>
    </xf>
    <xf numFmtId="0" fontId="45" fillId="0" borderId="19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wrapText="1"/>
    </xf>
    <xf numFmtId="0" fontId="45" fillId="0" borderId="21" xfId="0" applyFont="1" applyFill="1" applyBorder="1" applyAlignment="1">
      <alignment horizontal="center" vertical="center" wrapText="1"/>
    </xf>
    <xf numFmtId="0" fontId="49" fillId="22" borderId="33" xfId="0" applyFont="1" applyFill="1" applyBorder="1" applyAlignment="1">
      <alignment horizontal="center"/>
    </xf>
    <xf numFmtId="3" fontId="53" fillId="22" borderId="33" xfId="0" applyNumberFormat="1" applyFont="1" applyFill="1" applyBorder="1" applyAlignment="1">
      <alignment horizontal="center"/>
    </xf>
    <xf numFmtId="0" fontId="53" fillId="22" borderId="43" xfId="0" applyFont="1" applyFill="1" applyBorder="1" applyAlignment="1">
      <alignment horizontal="center"/>
    </xf>
    <xf numFmtId="0" fontId="53" fillId="22" borderId="44" xfId="0" applyFont="1" applyFill="1" applyBorder="1" applyAlignment="1">
      <alignment horizontal="center"/>
    </xf>
    <xf numFmtId="181" fontId="53" fillId="22" borderId="44" xfId="0" applyNumberFormat="1" applyFont="1" applyFill="1" applyBorder="1" applyAlignment="1">
      <alignment/>
    </xf>
    <xf numFmtId="4" fontId="53" fillId="22" borderId="44" xfId="0" applyNumberFormat="1" applyFont="1" applyFill="1" applyBorder="1" applyAlignment="1">
      <alignment/>
    </xf>
    <xf numFmtId="0" fontId="56" fillId="0" borderId="0" xfId="0" applyFont="1" applyAlignment="1">
      <alignment vertical="center"/>
    </xf>
    <xf numFmtId="181" fontId="53" fillId="22" borderId="19" xfId="0" applyNumberFormat="1" applyFont="1" applyFill="1" applyBorder="1" applyAlignment="1">
      <alignment horizontal="right"/>
    </xf>
    <xf numFmtId="4" fontId="53" fillId="22" borderId="19" xfId="0" applyNumberFormat="1" applyFont="1" applyFill="1" applyBorder="1" applyAlignment="1">
      <alignment horizontal="right"/>
    </xf>
    <xf numFmtId="181" fontId="51" fillId="22" borderId="45" xfId="0" applyNumberFormat="1" applyFont="1" applyFill="1" applyBorder="1" applyAlignment="1">
      <alignment/>
    </xf>
    <xf numFmtId="181" fontId="51" fillId="22" borderId="46" xfId="0" applyNumberFormat="1" applyFont="1" applyFill="1" applyBorder="1" applyAlignment="1">
      <alignment/>
    </xf>
    <xf numFmtId="181" fontId="53" fillId="22" borderId="47" xfId="0" applyNumberFormat="1" applyFont="1" applyFill="1" applyBorder="1" applyAlignment="1">
      <alignment/>
    </xf>
    <xf numFmtId="0" fontId="54" fillId="0" borderId="0" xfId="68" applyFont="1" applyProtection="1">
      <alignment/>
      <protection locked="0"/>
    </xf>
    <xf numFmtId="0" fontId="1" fillId="0" borderId="0" xfId="0" applyFont="1" applyBorder="1" applyAlignment="1">
      <alignment wrapText="1"/>
    </xf>
    <xf numFmtId="0" fontId="1" fillId="0" borderId="0" xfId="68" applyFont="1" applyProtection="1">
      <alignment/>
      <protection locked="0"/>
    </xf>
    <xf numFmtId="0" fontId="47" fillId="0" borderId="0" xfId="0" applyFont="1" applyAlignment="1">
      <alignment/>
    </xf>
    <xf numFmtId="0" fontId="1" fillId="0" borderId="0" xfId="68" applyFont="1" applyBorder="1" applyProtection="1">
      <alignment/>
      <protection locked="0"/>
    </xf>
    <xf numFmtId="4" fontId="12" fillId="0" borderId="0" xfId="0" applyNumberFormat="1" applyFont="1" applyAlignment="1">
      <alignment/>
    </xf>
    <xf numFmtId="14" fontId="2" fillId="0" borderId="0" xfId="68" applyNumberFormat="1" applyFont="1" applyProtection="1">
      <alignment/>
      <protection/>
    </xf>
    <xf numFmtId="4" fontId="45" fillId="0" borderId="20" xfId="62" applyNumberFormat="1" applyFont="1" applyFill="1" applyBorder="1">
      <alignment/>
      <protection/>
    </xf>
    <xf numFmtId="4" fontId="45" fillId="0" borderId="22" xfId="62" applyNumberFormat="1" applyFont="1" applyFill="1" applyBorder="1">
      <alignment/>
      <protection/>
    </xf>
    <xf numFmtId="3" fontId="53" fillId="28" borderId="33" xfId="0" applyNumberFormat="1" applyFont="1" applyFill="1" applyBorder="1" applyAlignment="1">
      <alignment horizontal="center"/>
    </xf>
    <xf numFmtId="3" fontId="53" fillId="22" borderId="46" xfId="0" applyNumberFormat="1" applyFont="1" applyFill="1" applyBorder="1" applyAlignment="1">
      <alignment horizontal="center"/>
    </xf>
    <xf numFmtId="10" fontId="46" fillId="22" borderId="48" xfId="76" applyNumberFormat="1" applyFont="1" applyFill="1" applyBorder="1" applyAlignment="1">
      <alignment/>
    </xf>
    <xf numFmtId="3" fontId="53" fillId="22" borderId="44" xfId="0" applyNumberFormat="1" applyFont="1" applyFill="1" applyBorder="1" applyAlignment="1">
      <alignment horizontal="center"/>
    </xf>
    <xf numFmtId="3" fontId="53" fillId="22" borderId="49" xfId="0" applyNumberFormat="1" applyFont="1" applyFill="1" applyBorder="1" applyAlignment="1">
      <alignment horizontal="center"/>
    </xf>
    <xf numFmtId="4" fontId="52" fillId="27" borderId="50" xfId="62" applyNumberFormat="1" applyFont="1" applyFill="1" applyBorder="1">
      <alignment/>
      <protection/>
    </xf>
    <xf numFmtId="4" fontId="45" fillId="0" borderId="21" xfId="63" applyNumberFormat="1" applyFont="1" applyFill="1" applyBorder="1">
      <alignment/>
      <protection/>
    </xf>
    <xf numFmtId="3" fontId="45" fillId="0" borderId="21" xfId="63" applyNumberFormat="1" applyFont="1" applyFill="1" applyBorder="1">
      <alignment/>
      <protection/>
    </xf>
    <xf numFmtId="0" fontId="45" fillId="0" borderId="23" xfId="63" applyFont="1" applyFill="1" applyBorder="1">
      <alignment/>
      <protection/>
    </xf>
    <xf numFmtId="0" fontId="45" fillId="0" borderId="25" xfId="63" applyFont="1" applyFill="1" applyBorder="1">
      <alignment/>
      <protection/>
    </xf>
    <xf numFmtId="0" fontId="45" fillId="0" borderId="19" xfId="63" applyFont="1" applyFill="1" applyBorder="1">
      <alignment/>
      <protection/>
    </xf>
    <xf numFmtId="1" fontId="45" fillId="0" borderId="21" xfId="63" applyNumberFormat="1" applyFont="1" applyFill="1" applyBorder="1">
      <alignment/>
      <protection/>
    </xf>
    <xf numFmtId="0" fontId="45" fillId="0" borderId="21" xfId="63" applyFont="1" applyFill="1" applyBorder="1">
      <alignment/>
      <protection/>
    </xf>
    <xf numFmtId="3" fontId="45" fillId="0" borderId="25" xfId="63" applyNumberFormat="1" applyFont="1" applyFill="1" applyBorder="1">
      <alignment/>
      <protection/>
    </xf>
    <xf numFmtId="1" fontId="45" fillId="0" borderId="25" xfId="63" applyNumberFormat="1" applyFont="1" applyFill="1" applyBorder="1">
      <alignment/>
      <protection/>
    </xf>
    <xf numFmtId="3" fontId="45" fillId="0" borderId="23" xfId="63" applyNumberFormat="1" applyFont="1" applyFill="1" applyBorder="1">
      <alignment/>
      <protection/>
    </xf>
    <xf numFmtId="4" fontId="45" fillId="0" borderId="25" xfId="63" applyNumberFormat="1" applyFont="1" applyFill="1" applyBorder="1">
      <alignment/>
      <protection/>
    </xf>
    <xf numFmtId="4" fontId="45" fillId="0" borderId="51" xfId="63" applyNumberFormat="1" applyFont="1" applyFill="1" applyBorder="1">
      <alignment/>
      <protection/>
    </xf>
    <xf numFmtId="3" fontId="45" fillId="0" borderId="51" xfId="63" applyNumberFormat="1" applyFont="1" applyFill="1" applyBorder="1">
      <alignment/>
      <protection/>
    </xf>
    <xf numFmtId="0" fontId="45" fillId="0" borderId="19" xfId="0" applyFont="1" applyFill="1" applyBorder="1" applyAlignment="1">
      <alignment/>
    </xf>
    <xf numFmtId="1" fontId="45" fillId="0" borderId="21" xfId="0" applyNumberFormat="1" applyFont="1" applyFill="1" applyBorder="1" applyAlignment="1">
      <alignment/>
    </xf>
    <xf numFmtId="4" fontId="45" fillId="0" borderId="50" xfId="62" applyNumberFormat="1" applyFont="1" applyFill="1" applyBorder="1" applyAlignment="1">
      <alignment horizontal="right"/>
      <protection/>
    </xf>
    <xf numFmtId="3" fontId="45" fillId="0" borderId="50" xfId="62" applyNumberFormat="1" applyFont="1" applyFill="1" applyBorder="1" applyAlignment="1">
      <alignment horizontal="right"/>
      <protection/>
    </xf>
    <xf numFmtId="3" fontId="45" fillId="0" borderId="52" xfId="62" applyNumberFormat="1" applyFont="1" applyFill="1" applyBorder="1">
      <alignment/>
      <protection/>
    </xf>
    <xf numFmtId="3" fontId="45" fillId="0" borderId="52" xfId="62" applyNumberFormat="1" applyFont="1" applyFill="1" applyBorder="1" applyAlignment="1">
      <alignment horizontal="right"/>
      <protection/>
    </xf>
    <xf numFmtId="3" fontId="45" fillId="0" borderId="23" xfId="0" applyNumberFormat="1" applyFont="1" applyFill="1" applyBorder="1" applyAlignment="1">
      <alignment/>
    </xf>
    <xf numFmtId="1" fontId="45" fillId="0" borderId="25" xfId="0" applyNumberFormat="1" applyFont="1" applyFill="1" applyBorder="1" applyAlignment="1">
      <alignment/>
    </xf>
    <xf numFmtId="3" fontId="45" fillId="0" borderId="19" xfId="63" applyNumberFormat="1" applyFont="1" applyFill="1" applyBorder="1">
      <alignment/>
      <protection/>
    </xf>
    <xf numFmtId="3" fontId="45" fillId="0" borderId="21" xfId="0" applyNumberFormat="1" applyFont="1" applyFill="1" applyBorder="1" applyAlignment="1">
      <alignment/>
    </xf>
    <xf numFmtId="3" fontId="45" fillId="0" borderId="25" xfId="0" applyNumberFormat="1" applyFont="1" applyFill="1" applyBorder="1" applyAlignment="1">
      <alignment/>
    </xf>
    <xf numFmtId="3" fontId="45" fillId="0" borderId="23" xfId="46" applyNumberFormat="1" applyFont="1" applyFill="1" applyBorder="1" applyAlignment="1">
      <alignment horizontal="right" vertical="center"/>
    </xf>
    <xf numFmtId="3" fontId="45" fillId="0" borderId="25" xfId="46" applyNumberFormat="1" applyFont="1" applyFill="1" applyBorder="1" applyAlignment="1">
      <alignment horizontal="right" vertical="center"/>
    </xf>
    <xf numFmtId="3" fontId="45" fillId="0" borderId="21" xfId="46" applyNumberFormat="1" applyFont="1" applyFill="1" applyBorder="1" applyAlignment="1">
      <alignment horizontal="right" vertical="center"/>
    </xf>
    <xf numFmtId="4" fontId="45" fillId="0" borderId="23" xfId="0" applyNumberFormat="1" applyFont="1" applyFill="1" applyBorder="1" applyAlignment="1">
      <alignment/>
    </xf>
    <xf numFmtId="4" fontId="52" fillId="27" borderId="0" xfId="0" applyNumberFormat="1" applyFont="1" applyFill="1" applyAlignment="1">
      <alignment/>
    </xf>
    <xf numFmtId="0" fontId="1" fillId="0" borderId="0" xfId="66" applyFont="1" applyFill="1" applyAlignment="1">
      <alignment horizontal="right"/>
      <protection/>
    </xf>
    <xf numFmtId="0" fontId="1" fillId="0" borderId="0" xfId="66" applyFont="1">
      <alignment/>
      <protection/>
    </xf>
    <xf numFmtId="0" fontId="1" fillId="0" borderId="0" xfId="66" applyFont="1" applyFill="1" applyBorder="1" applyAlignment="1">
      <alignment horizontal="right"/>
      <protection/>
    </xf>
    <xf numFmtId="0" fontId="13" fillId="30" borderId="10" xfId="66" applyFont="1" applyFill="1" applyBorder="1" applyAlignment="1">
      <alignment horizontal="center" vertical="center" wrapText="1"/>
      <protection/>
    </xf>
    <xf numFmtId="0" fontId="12" fillId="0" borderId="0" xfId="66" applyFont="1">
      <alignment/>
      <protection/>
    </xf>
    <xf numFmtId="3" fontId="13" fillId="30" borderId="0" xfId="66" applyNumberFormat="1" applyFont="1" applyFill="1" applyAlignment="1">
      <alignment horizontal="right" vertical="top" wrapText="1"/>
      <protection/>
    </xf>
    <xf numFmtId="3" fontId="12" fillId="30" borderId="0" xfId="66" applyNumberFormat="1" applyFont="1" applyFill="1" applyAlignment="1">
      <alignment horizontal="right" vertical="top" wrapText="1"/>
      <protection/>
    </xf>
    <xf numFmtId="0" fontId="12" fillId="30" borderId="0" xfId="66" applyFont="1" applyFill="1" applyAlignment="1">
      <alignment horizontal="right" vertical="top" wrapText="1"/>
      <protection/>
    </xf>
    <xf numFmtId="0" fontId="13" fillId="30" borderId="10" xfId="67" applyFont="1" applyFill="1" applyBorder="1" applyAlignment="1">
      <alignment horizontal="center" vertical="center" wrapText="1"/>
      <protection/>
    </xf>
    <xf numFmtId="0" fontId="12" fillId="30" borderId="0" xfId="66" applyFont="1" applyFill="1" applyAlignment="1">
      <alignment horizontal="left" vertical="top" wrapText="1"/>
      <protection/>
    </xf>
    <xf numFmtId="0" fontId="0" fillId="0" borderId="0" xfId="66" applyFont="1" applyAlignment="1">
      <alignment horizontal="left" vertical="top" wrapText="1"/>
      <protection/>
    </xf>
    <xf numFmtId="3" fontId="12" fillId="30" borderId="0" xfId="0" applyNumberFormat="1" applyFont="1" applyFill="1" applyAlignment="1">
      <alignment horizontal="right" vertical="top" wrapText="1"/>
    </xf>
    <xf numFmtId="3" fontId="13" fillId="30" borderId="0" xfId="0" applyNumberFormat="1" applyFont="1" applyFill="1" applyAlignment="1">
      <alignment horizontal="right" vertical="top" wrapText="1"/>
    </xf>
    <xf numFmtId="3" fontId="39" fillId="30" borderId="0" xfId="66" applyNumberFormat="1" applyFont="1" applyFill="1" applyAlignment="1">
      <alignment horizontal="right" vertical="top" wrapText="1"/>
      <protection/>
    </xf>
    <xf numFmtId="0" fontId="14" fillId="0" borderId="0" xfId="66" applyFont="1">
      <alignment/>
      <protection/>
    </xf>
    <xf numFmtId="3" fontId="39" fillId="30" borderId="0" xfId="0" applyNumberFormat="1" applyFont="1" applyFill="1" applyAlignment="1">
      <alignment horizontal="right" vertical="top" wrapText="1"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3" fontId="13" fillId="0" borderId="0" xfId="0" applyNumberFormat="1" applyFont="1" applyFill="1" applyAlignment="1">
      <alignment horizontal="right" vertical="top" wrapText="1"/>
    </xf>
    <xf numFmtId="3" fontId="12" fillId="0" borderId="0" xfId="0" applyNumberFormat="1" applyFont="1" applyFill="1" applyAlignment="1">
      <alignment horizontal="right" vertical="top" wrapText="1"/>
    </xf>
    <xf numFmtId="3" fontId="12" fillId="31" borderId="10" xfId="0" applyNumberFormat="1" applyFont="1" applyFill="1" applyBorder="1" applyAlignment="1">
      <alignment horizontal="center"/>
    </xf>
    <xf numFmtId="3" fontId="14" fillId="31" borderId="10" xfId="0" applyNumberFormat="1" applyFont="1" applyFill="1" applyBorder="1" applyAlignment="1">
      <alignment horizontal="center"/>
    </xf>
    <xf numFmtId="3" fontId="39" fillId="31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3" fontId="35" fillId="0" borderId="10" xfId="0" applyNumberFormat="1" applyFont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37" fillId="25" borderId="10" xfId="0" applyFont="1" applyFill="1" applyBorder="1" applyAlignment="1">
      <alignment/>
    </xf>
    <xf numFmtId="0" fontId="35" fillId="25" borderId="10" xfId="0" applyFont="1" applyFill="1" applyBorder="1" applyAlignment="1">
      <alignment horizontal="center" wrapText="1"/>
    </xf>
    <xf numFmtId="3" fontId="35" fillId="25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11" borderId="10" xfId="0" applyFont="1" applyFill="1" applyBorder="1" applyAlignment="1">
      <alignment horizontal="center"/>
    </xf>
    <xf numFmtId="0" fontId="43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 wrapText="1"/>
    </xf>
    <xf numFmtId="0" fontId="43" fillId="11" borderId="10" xfId="0" applyFont="1" applyFill="1" applyBorder="1" applyAlignment="1">
      <alignment/>
    </xf>
    <xf numFmtId="0" fontId="13" fillId="11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 wrapText="1"/>
    </xf>
    <xf numFmtId="0" fontId="1" fillId="0" borderId="0" xfId="66" applyFont="1" applyAlignment="1">
      <alignment horizontal="left"/>
      <protection/>
    </xf>
    <xf numFmtId="0" fontId="5" fillId="30" borderId="0" xfId="66" applyFont="1" applyFill="1" applyBorder="1" applyAlignment="1">
      <alignment horizontal="center" vertical="top" wrapText="1"/>
      <protection/>
    </xf>
    <xf numFmtId="0" fontId="0" fillId="0" borderId="0" xfId="66" applyFont="1" applyBorder="1" applyAlignment="1">
      <alignment horizontal="center" vertical="top" wrapText="1"/>
      <protection/>
    </xf>
    <xf numFmtId="0" fontId="5" fillId="30" borderId="53" xfId="66" applyFont="1" applyFill="1" applyBorder="1" applyAlignment="1">
      <alignment horizontal="center" vertical="center" wrapText="1"/>
      <protection/>
    </xf>
    <xf numFmtId="0" fontId="0" fillId="0" borderId="38" xfId="66" applyFont="1" applyBorder="1" applyAlignment="1">
      <alignment horizontal="center" vertical="center" wrapText="1"/>
      <protection/>
    </xf>
    <xf numFmtId="0" fontId="13" fillId="30" borderId="0" xfId="0" applyFont="1" applyFill="1" applyAlignment="1">
      <alignment horizontal="left" vertical="top" wrapText="1"/>
    </xf>
    <xf numFmtId="0" fontId="12" fillId="30" borderId="0" xfId="0" applyFont="1" applyFill="1" applyAlignment="1">
      <alignment horizontal="left" vertical="top" wrapText="1"/>
    </xf>
    <xf numFmtId="0" fontId="13" fillId="30" borderId="0" xfId="66" applyFont="1" applyFill="1" applyAlignment="1">
      <alignment horizontal="left" vertical="top" wrapText="1"/>
      <protection/>
    </xf>
    <xf numFmtId="0" fontId="0" fillId="0" borderId="0" xfId="66" applyFont="1" applyAlignment="1">
      <alignment horizontal="left" vertical="top" wrapText="1"/>
      <protection/>
    </xf>
    <xf numFmtId="0" fontId="56" fillId="0" borderId="0" xfId="66" applyFont="1" applyAlignment="1">
      <alignment horizontal="left" vertical="top" wrapText="1"/>
      <protection/>
    </xf>
    <xf numFmtId="0" fontId="12" fillId="30" borderId="0" xfId="66" applyFont="1" applyFill="1" applyAlignment="1">
      <alignment horizontal="left" vertical="top" wrapText="1"/>
      <protection/>
    </xf>
    <xf numFmtId="0" fontId="13" fillId="0" borderId="0" xfId="66" applyFont="1" applyFill="1" applyAlignment="1">
      <alignment horizontal="left" vertical="top" wrapText="1"/>
      <protection/>
    </xf>
    <xf numFmtId="0" fontId="0" fillId="0" borderId="0" xfId="66" applyFont="1" applyFill="1" applyAlignment="1">
      <alignment horizontal="left" vertical="top" wrapText="1"/>
      <protection/>
    </xf>
    <xf numFmtId="0" fontId="39" fillId="30" borderId="0" xfId="66" applyFont="1" applyFill="1" applyAlignment="1">
      <alignment horizontal="left" vertical="top" wrapText="1"/>
      <protection/>
    </xf>
    <xf numFmtId="0" fontId="55" fillId="0" borderId="0" xfId="66" applyFont="1" applyAlignment="1">
      <alignment horizontal="left" vertical="top" wrapText="1"/>
      <protection/>
    </xf>
    <xf numFmtId="0" fontId="14" fillId="30" borderId="0" xfId="66" applyFont="1" applyFill="1" applyAlignment="1">
      <alignment horizontal="left" vertical="top" wrapText="1"/>
      <protection/>
    </xf>
    <xf numFmtId="0" fontId="39" fillId="30" borderId="0" xfId="0" applyFont="1" applyFill="1" applyAlignment="1">
      <alignment horizontal="left" vertical="top" wrapText="1"/>
    </xf>
    <xf numFmtId="0" fontId="14" fillId="3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1" fillId="11" borderId="54" xfId="0" applyFont="1" applyFill="1" applyBorder="1" applyAlignment="1">
      <alignment horizontal="center" vertical="center" wrapText="1"/>
    </xf>
    <xf numFmtId="0" fontId="51" fillId="11" borderId="55" xfId="0" applyFont="1" applyFill="1" applyBorder="1" applyAlignment="1">
      <alignment horizontal="center" vertical="center" wrapText="1"/>
    </xf>
    <xf numFmtId="0" fontId="51" fillId="11" borderId="56" xfId="0" applyFont="1" applyFill="1" applyBorder="1" applyAlignment="1">
      <alignment horizontal="center" vertical="center" wrapText="1"/>
    </xf>
    <xf numFmtId="0" fontId="51" fillId="11" borderId="57" xfId="0" applyFont="1" applyFill="1" applyBorder="1" applyAlignment="1">
      <alignment horizontal="center" vertical="center" wrapText="1"/>
    </xf>
    <xf numFmtId="0" fontId="51" fillId="26" borderId="12" xfId="0" applyFont="1" applyFill="1" applyBorder="1" applyAlignment="1">
      <alignment horizontal="center" vertical="center"/>
    </xf>
    <xf numFmtId="0" fontId="51" fillId="26" borderId="15" xfId="0" applyFont="1" applyFill="1" applyBorder="1" applyAlignment="1">
      <alignment horizontal="center" vertical="center"/>
    </xf>
    <xf numFmtId="0" fontId="45" fillId="0" borderId="31" xfId="62" applyFont="1" applyFill="1" applyBorder="1" applyAlignment="1">
      <alignment/>
      <protection/>
    </xf>
    <xf numFmtId="0" fontId="45" fillId="0" borderId="58" xfId="62" applyFont="1" applyFill="1" applyBorder="1" applyAlignment="1">
      <alignment/>
      <protection/>
    </xf>
    <xf numFmtId="0" fontId="45" fillId="0" borderId="19" xfId="62" applyFont="1" applyFill="1" applyBorder="1" applyAlignment="1">
      <alignment horizontal="center" vertical="center" wrapText="1"/>
      <protection/>
    </xf>
    <xf numFmtId="0" fontId="45" fillId="0" borderId="21" xfId="62" applyFont="1" applyFill="1" applyBorder="1" applyAlignment="1">
      <alignment horizontal="center" vertical="center" wrapText="1"/>
      <protection/>
    </xf>
    <xf numFmtId="4" fontId="45" fillId="0" borderId="19" xfId="46" applyNumberFormat="1" applyFont="1" applyFill="1" applyBorder="1" applyAlignment="1">
      <alignment horizontal="center" vertical="center" wrapText="1"/>
    </xf>
    <xf numFmtId="4" fontId="45" fillId="0" borderId="21" xfId="46" applyNumberFormat="1" applyFont="1" applyFill="1" applyBorder="1" applyAlignment="1">
      <alignment horizontal="center" vertical="center" wrapText="1"/>
    </xf>
    <xf numFmtId="0" fontId="45" fillId="0" borderId="59" xfId="62" applyFont="1" applyFill="1" applyBorder="1" applyAlignment="1">
      <alignment/>
      <protection/>
    </xf>
    <xf numFmtId="0" fontId="45" fillId="0" borderId="60" xfId="62" applyFont="1" applyFill="1" applyBorder="1" applyAlignment="1">
      <alignment/>
      <protection/>
    </xf>
    <xf numFmtId="0" fontId="45" fillId="0" borderId="23" xfId="62" applyFont="1" applyFill="1" applyBorder="1" applyAlignment="1">
      <alignment horizontal="center" vertical="center"/>
      <protection/>
    </xf>
    <xf numFmtId="0" fontId="45" fillId="0" borderId="25" xfId="62" applyFont="1" applyFill="1" applyBorder="1" applyAlignment="1">
      <alignment horizontal="center" vertical="center"/>
      <protection/>
    </xf>
    <xf numFmtId="0" fontId="45" fillId="0" borderId="23" xfId="62" applyFont="1" applyFill="1" applyBorder="1" applyAlignment="1">
      <alignment horizontal="center" vertical="center" wrapText="1"/>
      <protection/>
    </xf>
    <xf numFmtId="0" fontId="45" fillId="0" borderId="25" xfId="62" applyFont="1" applyFill="1" applyBorder="1" applyAlignment="1">
      <alignment horizontal="center" vertical="center" wrapText="1"/>
      <protection/>
    </xf>
    <xf numFmtId="4" fontId="45" fillId="0" borderId="23" xfId="62" applyNumberFormat="1" applyFont="1" applyFill="1" applyBorder="1" applyAlignment="1">
      <alignment horizontal="center" vertical="center"/>
      <protection/>
    </xf>
    <xf numFmtId="4" fontId="45" fillId="0" borderId="25" xfId="62" applyNumberFormat="1" applyFont="1" applyFill="1" applyBorder="1" applyAlignment="1">
      <alignment horizontal="center" vertical="center"/>
      <protection/>
    </xf>
    <xf numFmtId="4" fontId="45" fillId="0" borderId="19" xfId="46" applyNumberFormat="1" applyFont="1" applyFill="1" applyBorder="1" applyAlignment="1">
      <alignment horizontal="center" vertical="center"/>
    </xf>
    <xf numFmtId="4" fontId="45" fillId="0" borderId="21" xfId="46" applyNumberFormat="1" applyFont="1" applyFill="1" applyBorder="1" applyAlignment="1">
      <alignment horizontal="center" vertical="center"/>
    </xf>
    <xf numFmtId="4" fontId="45" fillId="0" borderId="23" xfId="46" applyNumberFormat="1" applyFont="1" applyFill="1" applyBorder="1" applyAlignment="1">
      <alignment horizontal="center" vertical="center"/>
    </xf>
    <xf numFmtId="4" fontId="45" fillId="0" borderId="25" xfId="46" applyNumberFormat="1" applyFont="1" applyFill="1" applyBorder="1" applyAlignment="1">
      <alignment horizontal="center" vertical="center"/>
    </xf>
    <xf numFmtId="0" fontId="0" fillId="0" borderId="21" xfId="62" applyFill="1" applyBorder="1" applyAlignment="1">
      <alignment horizontal="center" vertical="center" wrapText="1"/>
      <protection/>
    </xf>
    <xf numFmtId="0" fontId="0" fillId="0" borderId="25" xfId="62" applyFill="1" applyBorder="1" applyAlignment="1">
      <alignment horizontal="center" vertical="center" wrapText="1"/>
      <protection/>
    </xf>
    <xf numFmtId="0" fontId="45" fillId="0" borderId="19" xfId="62" applyFont="1" applyFill="1" applyBorder="1" applyAlignment="1">
      <alignment horizontal="center" wrapText="1"/>
      <protection/>
    </xf>
    <xf numFmtId="0" fontId="45" fillId="0" borderId="21" xfId="62" applyFont="1" applyFill="1" applyBorder="1" applyAlignment="1">
      <alignment horizontal="center" wrapText="1"/>
      <protection/>
    </xf>
    <xf numFmtId="0" fontId="45" fillId="0" borderId="23" xfId="62" applyFont="1" applyFill="1" applyBorder="1" applyAlignment="1">
      <alignment horizontal="center" wrapText="1"/>
      <protection/>
    </xf>
    <xf numFmtId="0" fontId="45" fillId="0" borderId="25" xfId="62" applyFont="1" applyFill="1" applyBorder="1" applyAlignment="1">
      <alignment horizontal="center" wrapText="1"/>
      <protection/>
    </xf>
    <xf numFmtId="0" fontId="45" fillId="0" borderId="50" xfId="62" applyFont="1" applyFill="1" applyBorder="1" applyAlignment="1">
      <alignment horizontal="center" vertical="center" wrapText="1"/>
      <protection/>
    </xf>
    <xf numFmtId="0" fontId="45" fillId="0" borderId="52" xfId="62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wrapText="1"/>
    </xf>
    <xf numFmtId="0" fontId="45" fillId="0" borderId="21" xfId="0" applyFont="1" applyFill="1" applyBorder="1" applyAlignment="1">
      <alignment horizont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wrapText="1"/>
    </xf>
    <xf numFmtId="14" fontId="45" fillId="0" borderId="23" xfId="62" applyNumberFormat="1" applyFont="1" applyFill="1" applyBorder="1" applyAlignment="1">
      <alignment horizontal="center" wrapText="1"/>
      <protection/>
    </xf>
    <xf numFmtId="0" fontId="45" fillId="0" borderId="23" xfId="63" applyFont="1" applyFill="1" applyBorder="1" applyAlignment="1">
      <alignment horizontal="center" wrapText="1"/>
      <protection/>
    </xf>
    <xf numFmtId="0" fontId="45" fillId="0" borderId="25" xfId="63" applyFont="1" applyFill="1" applyBorder="1" applyAlignment="1">
      <alignment horizontal="center" wrapText="1"/>
      <protection/>
    </xf>
    <xf numFmtId="0" fontId="45" fillId="0" borderId="19" xfId="63" applyFont="1" applyFill="1" applyBorder="1" applyAlignment="1">
      <alignment horizontal="center" wrapText="1"/>
      <protection/>
    </xf>
    <xf numFmtId="0" fontId="45" fillId="0" borderId="21" xfId="63" applyFont="1" applyFill="1" applyBorder="1" applyAlignment="1">
      <alignment horizontal="center" wrapText="1"/>
      <protection/>
    </xf>
    <xf numFmtId="3" fontId="45" fillId="0" borderId="19" xfId="0" applyNumberFormat="1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4" fontId="45" fillId="0" borderId="63" xfId="46" applyNumberFormat="1" applyFont="1" applyFill="1" applyBorder="1" applyAlignment="1">
      <alignment horizontal="center" vertical="center"/>
    </xf>
    <xf numFmtId="4" fontId="45" fillId="0" borderId="64" xfId="46" applyNumberFormat="1" applyFont="1" applyFill="1" applyBorder="1" applyAlignment="1">
      <alignment horizontal="center" vertical="center"/>
    </xf>
    <xf numFmtId="0" fontId="45" fillId="0" borderId="27" xfId="62" applyFont="1" applyFill="1" applyBorder="1" applyAlignment="1">
      <alignment horizontal="center" wrapText="1"/>
      <protection/>
    </xf>
    <xf numFmtId="0" fontId="45" fillId="0" borderId="28" xfId="62" applyFont="1" applyFill="1" applyBorder="1" applyAlignment="1">
      <alignment horizontal="center" wrapText="1"/>
      <protection/>
    </xf>
    <xf numFmtId="0" fontId="49" fillId="22" borderId="19" xfId="0" applyFont="1" applyFill="1" applyBorder="1" applyAlignment="1">
      <alignment horizontal="left"/>
    </xf>
    <xf numFmtId="0" fontId="49" fillId="22" borderId="65" xfId="0" applyFont="1" applyFill="1" applyBorder="1" applyAlignment="1">
      <alignment horizontal="left"/>
    </xf>
    <xf numFmtId="0" fontId="49" fillId="22" borderId="66" xfId="0" applyFont="1" applyFill="1" applyBorder="1" applyAlignment="1">
      <alignment horizontal="left"/>
    </xf>
    <xf numFmtId="181" fontId="49" fillId="22" borderId="33" xfId="0" applyNumberFormat="1" applyFont="1" applyFill="1" applyBorder="1" applyAlignment="1">
      <alignment horizontal="left"/>
    </xf>
    <xf numFmtId="181" fontId="53" fillId="22" borderId="35" xfId="0" applyNumberFormat="1" applyFont="1" applyFill="1" applyBorder="1" applyAlignment="1">
      <alignment horizontal="left"/>
    </xf>
    <xf numFmtId="0" fontId="53" fillId="22" borderId="35" xfId="0" applyFont="1" applyFill="1" applyBorder="1" applyAlignment="1">
      <alignment horizontal="left"/>
    </xf>
    <xf numFmtId="0" fontId="49" fillId="28" borderId="41" xfId="0" applyFont="1" applyFill="1" applyBorder="1" applyAlignment="1">
      <alignment horizontal="left"/>
    </xf>
    <xf numFmtId="0" fontId="49" fillId="28" borderId="38" xfId="0" applyFont="1" applyFill="1" applyBorder="1" applyAlignment="1">
      <alignment horizontal="left"/>
    </xf>
    <xf numFmtId="0" fontId="50" fillId="0" borderId="0" xfId="0" applyFont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45" fillId="0" borderId="31" xfId="0" applyFont="1" applyFill="1" applyBorder="1" applyAlignment="1">
      <alignment/>
    </xf>
    <xf numFmtId="0" fontId="45" fillId="0" borderId="58" xfId="0" applyFont="1" applyFill="1" applyBorder="1" applyAlignment="1">
      <alignment/>
    </xf>
    <xf numFmtId="217" fontId="45" fillId="0" borderId="19" xfId="46" applyNumberFormat="1" applyFont="1" applyFill="1" applyBorder="1" applyAlignment="1">
      <alignment horizontal="center" vertical="center"/>
    </xf>
    <xf numFmtId="217" fontId="45" fillId="0" borderId="21" xfId="46" applyNumberFormat="1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right"/>
    </xf>
    <xf numFmtId="0" fontId="45" fillId="0" borderId="68" xfId="0" applyFont="1" applyFill="1" applyBorder="1" applyAlignment="1">
      <alignment horizontal="right"/>
    </xf>
    <xf numFmtId="181" fontId="53" fillId="22" borderId="44" xfId="0" applyNumberFormat="1" applyFont="1" applyFill="1" applyBorder="1" applyAlignment="1">
      <alignment horizontal="left"/>
    </xf>
    <xf numFmtId="0" fontId="53" fillId="22" borderId="44" xfId="0" applyFont="1" applyFill="1" applyBorder="1" applyAlignment="1">
      <alignment horizontal="left"/>
    </xf>
    <xf numFmtId="0" fontId="5" fillId="30" borderId="0" xfId="67" applyFont="1" applyFill="1" applyBorder="1" applyAlignment="1">
      <alignment horizontal="center" vertical="top" wrapText="1"/>
      <protection/>
    </xf>
    <xf numFmtId="0" fontId="0" fillId="0" borderId="0" xfId="66" applyFont="1" applyAlignment="1">
      <alignment horizontal="center" vertical="top" wrapText="1"/>
      <protection/>
    </xf>
    <xf numFmtId="0" fontId="13" fillId="30" borderId="53" xfId="67" applyFont="1" applyFill="1" applyBorder="1" applyAlignment="1">
      <alignment horizontal="center" vertical="center" wrapText="1"/>
      <protection/>
    </xf>
    <xf numFmtId="0" fontId="0" fillId="0" borderId="69" xfId="66" applyFont="1" applyBorder="1" applyAlignment="1">
      <alignment horizontal="center" vertical="center" wrapText="1"/>
      <protection/>
    </xf>
    <xf numFmtId="0" fontId="69" fillId="0" borderId="0" xfId="0" applyFont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Pašvaldības saistības 2" xfId="46"/>
    <cellStyle name="Currency" xfId="47"/>
    <cellStyle name="Currency [0]" xfId="48"/>
    <cellStyle name="Currency 2" xfId="49"/>
    <cellStyle name="Currency 2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rmal 5 2" xfId="67"/>
    <cellStyle name="Normal_Pamatformas 2" xfId="68"/>
    <cellStyle name="Note" xfId="69"/>
    <cellStyle name="Output" xfId="70"/>
    <cellStyle name="Percent" xfId="71"/>
    <cellStyle name="Percent 2" xfId="72"/>
    <cellStyle name="Percent 2 2" xfId="73"/>
    <cellStyle name="Percent 3" xfId="74"/>
    <cellStyle name="Percent 3 2" xfId="75"/>
    <cellStyle name="Percent 4" xfId="76"/>
    <cellStyle name="Percent 5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me\Finansu_nodala\Budzeta%20dokumenti\Saistibu%20tabulas\Budzeta%20planoshana_2013\5.pielikums_5.forma\Aiznemumu_kopsummas_5.formai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pielikums_08.01.2013."/>
      <sheetName val="03.05.2013."/>
      <sheetName val="aprēķins 5.formai"/>
      <sheetName val="Pašu ieņēmumi"/>
    </sheetNames>
    <sheetDataSet>
      <sheetData sheetId="1">
        <row r="168">
          <cell r="C168" t="str">
            <v>SIA Komunālie pakalpojumi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="90" zoomScaleNormal="90" zoomScalePageLayoutView="0" workbookViewId="0" topLeftCell="A36">
      <selection activeCell="C79" sqref="C79"/>
    </sheetView>
  </sheetViews>
  <sheetFormatPr defaultColWidth="9.140625" defaultRowHeight="12.75"/>
  <cols>
    <col min="1" max="1" width="13.00390625" style="1" customWidth="1"/>
    <col min="2" max="2" width="55.140625" style="1" customWidth="1"/>
    <col min="3" max="3" width="17.28125" style="1" customWidth="1"/>
    <col min="4" max="16384" width="9.140625" style="1" customWidth="1"/>
  </cols>
  <sheetData>
    <row r="1" spans="1:3" ht="15.75">
      <c r="A1" s="25"/>
      <c r="B1" s="25"/>
      <c r="C1" s="68" t="s">
        <v>84</v>
      </c>
    </row>
    <row r="2" spans="1:3" ht="15.75">
      <c r="A2" s="25"/>
      <c r="B2" s="25"/>
      <c r="C2" s="68" t="s">
        <v>914</v>
      </c>
    </row>
    <row r="3" spans="1:3" ht="15.75">
      <c r="A3" s="25"/>
      <c r="B3" s="25"/>
      <c r="C3" s="68" t="s">
        <v>915</v>
      </c>
    </row>
    <row r="4" spans="1:3" ht="15.75">
      <c r="A4" s="25"/>
      <c r="B4" s="25"/>
      <c r="C4" s="60"/>
    </row>
    <row r="5" spans="1:3" ht="18.75">
      <c r="A5" s="410" t="s">
        <v>417</v>
      </c>
      <c r="B5" s="410"/>
      <c r="C5" s="410"/>
    </row>
    <row r="6" spans="1:3" ht="18.75">
      <c r="A6" s="25"/>
      <c r="B6" s="57" t="s">
        <v>20</v>
      </c>
      <c r="C6" s="25"/>
    </row>
    <row r="7" spans="1:3" ht="15.75">
      <c r="A7" s="25"/>
      <c r="B7" s="56"/>
      <c r="C7" s="61" t="s">
        <v>387</v>
      </c>
    </row>
    <row r="8" spans="1:3" s="26" customFormat="1" ht="31.5">
      <c r="A8" s="177" t="s">
        <v>230</v>
      </c>
      <c r="B8" s="177" t="s">
        <v>131</v>
      </c>
      <c r="C8" s="177" t="s">
        <v>418</v>
      </c>
    </row>
    <row r="9" spans="1:3" ht="18.75">
      <c r="A9" s="155"/>
      <c r="B9" s="156" t="s">
        <v>176</v>
      </c>
      <c r="C9" s="157">
        <f>C10+C19+C50+C59</f>
        <v>53242324</v>
      </c>
    </row>
    <row r="10" spans="1:3" ht="15.75">
      <c r="A10" s="155"/>
      <c r="B10" s="111" t="s">
        <v>172</v>
      </c>
      <c r="C10" s="158">
        <f>C11+C14+C18</f>
        <v>39456411</v>
      </c>
    </row>
    <row r="11" spans="1:3" ht="15.75">
      <c r="A11" s="159" t="s">
        <v>41</v>
      </c>
      <c r="B11" s="3" t="s">
        <v>21</v>
      </c>
      <c r="C11" s="160">
        <f>C12+C13</f>
        <v>35537776</v>
      </c>
    </row>
    <row r="12" spans="1:3" ht="30" customHeight="1">
      <c r="A12" s="161" t="s">
        <v>205</v>
      </c>
      <c r="B12" s="64" t="s">
        <v>161</v>
      </c>
      <c r="C12" s="162">
        <v>243751</v>
      </c>
    </row>
    <row r="13" spans="1:3" ht="31.5">
      <c r="A13" s="161" t="s">
        <v>208</v>
      </c>
      <c r="B13" s="64" t="s">
        <v>162</v>
      </c>
      <c r="C13" s="162">
        <v>35294025</v>
      </c>
    </row>
    <row r="14" spans="1:3" ht="15.75">
      <c r="A14" s="163" t="s">
        <v>231</v>
      </c>
      <c r="B14" s="3" t="s">
        <v>22</v>
      </c>
      <c r="C14" s="160">
        <f>C15+C16+C17</f>
        <v>3629060</v>
      </c>
    </row>
    <row r="15" spans="1:3" ht="15.75">
      <c r="A15" s="161" t="s">
        <v>232</v>
      </c>
      <c r="B15" s="64" t="s">
        <v>23</v>
      </c>
      <c r="C15" s="162">
        <v>1408171</v>
      </c>
    </row>
    <row r="16" spans="1:3" ht="15.75">
      <c r="A16" s="164" t="s">
        <v>233</v>
      </c>
      <c r="B16" s="67" t="s">
        <v>132</v>
      </c>
      <c r="C16" s="165">
        <v>1510408</v>
      </c>
    </row>
    <row r="17" spans="1:3" ht="15.75">
      <c r="A17" s="164" t="s">
        <v>234</v>
      </c>
      <c r="B17" s="67" t="s">
        <v>203</v>
      </c>
      <c r="C17" s="165">
        <v>710481</v>
      </c>
    </row>
    <row r="18" spans="1:3" ht="15.75">
      <c r="A18" s="159" t="s">
        <v>235</v>
      </c>
      <c r="B18" s="3" t="s">
        <v>0</v>
      </c>
      <c r="C18" s="160">
        <v>289575</v>
      </c>
    </row>
    <row r="19" spans="1:3" ht="15.75">
      <c r="A19" s="155"/>
      <c r="B19" s="111" t="s">
        <v>173</v>
      </c>
      <c r="C19" s="158">
        <f>C20+C22+C36+C40+C47</f>
        <v>219198</v>
      </c>
    </row>
    <row r="20" spans="1:3" ht="15.75">
      <c r="A20" s="163" t="s">
        <v>36</v>
      </c>
      <c r="B20" s="3" t="s">
        <v>24</v>
      </c>
      <c r="C20" s="160">
        <f>C21</f>
        <v>400</v>
      </c>
    </row>
    <row r="21" spans="1:3" ht="15.75">
      <c r="A21" s="161" t="s">
        <v>236</v>
      </c>
      <c r="B21" s="64" t="s">
        <v>133</v>
      </c>
      <c r="C21" s="162">
        <v>400</v>
      </c>
    </row>
    <row r="22" spans="1:3" ht="15.75">
      <c r="A22" s="163" t="s">
        <v>37</v>
      </c>
      <c r="B22" s="3" t="s">
        <v>25</v>
      </c>
      <c r="C22" s="160">
        <f>C23+C28</f>
        <v>60650</v>
      </c>
    </row>
    <row r="23" spans="1:3" ht="15.75">
      <c r="A23" s="166" t="s">
        <v>237</v>
      </c>
      <c r="B23" s="24" t="s">
        <v>1</v>
      </c>
      <c r="C23" s="160">
        <f>SUM(C25+C26+C27+C24)</f>
        <v>21000</v>
      </c>
    </row>
    <row r="24" spans="1:3" ht="31.5">
      <c r="A24" s="161" t="s">
        <v>238</v>
      </c>
      <c r="B24" s="64" t="s">
        <v>300</v>
      </c>
      <c r="C24" s="162">
        <v>2000</v>
      </c>
    </row>
    <row r="25" spans="1:3" ht="63">
      <c r="A25" s="161" t="s">
        <v>239</v>
      </c>
      <c r="B25" s="64" t="s">
        <v>419</v>
      </c>
      <c r="C25" s="167">
        <v>8000</v>
      </c>
    </row>
    <row r="26" spans="1:3" ht="17.25" customHeight="1" hidden="1">
      <c r="A26" s="161" t="s">
        <v>240</v>
      </c>
      <c r="B26" s="64" t="s">
        <v>134</v>
      </c>
      <c r="C26" s="167"/>
    </row>
    <row r="27" spans="1:3" ht="31.5">
      <c r="A27" s="161" t="s">
        <v>241</v>
      </c>
      <c r="B27" s="64" t="s">
        <v>163</v>
      </c>
      <c r="C27" s="167">
        <v>11000</v>
      </c>
    </row>
    <row r="28" spans="1:3" ht="15.75">
      <c r="A28" s="166" t="s">
        <v>242</v>
      </c>
      <c r="B28" s="24" t="s">
        <v>2</v>
      </c>
      <c r="C28" s="160">
        <f>SUM(C29+C30+C31+C32+C33+C34+C35)</f>
        <v>39650</v>
      </c>
    </row>
    <row r="29" spans="1:3" ht="31.5">
      <c r="A29" s="161" t="s">
        <v>90</v>
      </c>
      <c r="B29" s="64" t="s">
        <v>420</v>
      </c>
      <c r="C29" s="167">
        <v>16000</v>
      </c>
    </row>
    <row r="30" spans="1:3" ht="31.5">
      <c r="A30" s="161" t="s">
        <v>91</v>
      </c>
      <c r="B30" s="64" t="s">
        <v>135</v>
      </c>
      <c r="C30" s="167">
        <v>350</v>
      </c>
    </row>
    <row r="31" spans="1:3" ht="15.75">
      <c r="A31" s="161" t="s">
        <v>109</v>
      </c>
      <c r="B31" s="64" t="s">
        <v>136</v>
      </c>
      <c r="C31" s="167">
        <v>2300</v>
      </c>
    </row>
    <row r="32" spans="1:3" ht="15.75">
      <c r="A32" s="161" t="s">
        <v>243</v>
      </c>
      <c r="B32" s="64" t="s">
        <v>137</v>
      </c>
      <c r="C32" s="167">
        <v>1000</v>
      </c>
    </row>
    <row r="33" spans="1:3" ht="31.5">
      <c r="A33" s="161" t="s">
        <v>244</v>
      </c>
      <c r="B33" s="64" t="s">
        <v>138</v>
      </c>
      <c r="C33" s="167">
        <v>6500</v>
      </c>
    </row>
    <row r="34" spans="1:3" ht="15.75">
      <c r="A34" s="161" t="s">
        <v>226</v>
      </c>
      <c r="B34" s="64" t="s">
        <v>139</v>
      </c>
      <c r="C34" s="167">
        <v>11000</v>
      </c>
    </row>
    <row r="35" spans="1:3" ht="15.75">
      <c r="A35" s="161" t="s">
        <v>302</v>
      </c>
      <c r="B35" s="64" t="s">
        <v>344</v>
      </c>
      <c r="C35" s="167">
        <v>2500</v>
      </c>
    </row>
    <row r="36" spans="1:3" ht="15.75">
      <c r="A36" s="163" t="s">
        <v>38</v>
      </c>
      <c r="B36" s="3" t="s">
        <v>3</v>
      </c>
      <c r="C36" s="160">
        <f>C37+C38</f>
        <v>120000</v>
      </c>
    </row>
    <row r="37" spans="1:3" ht="15.75">
      <c r="A37" s="179" t="s">
        <v>245</v>
      </c>
      <c r="B37" s="64" t="s">
        <v>140</v>
      </c>
      <c r="C37" s="162">
        <v>42000</v>
      </c>
    </row>
    <row r="38" spans="1:3" ht="15.75">
      <c r="A38" s="166" t="s">
        <v>451</v>
      </c>
      <c r="B38" s="24" t="s">
        <v>452</v>
      </c>
      <c r="C38" s="160">
        <f>C39</f>
        <v>78000</v>
      </c>
    </row>
    <row r="39" spans="1:3" ht="31.5">
      <c r="A39" s="179" t="s">
        <v>435</v>
      </c>
      <c r="B39" s="64" t="s">
        <v>469</v>
      </c>
      <c r="C39" s="162">
        <v>78000</v>
      </c>
    </row>
    <row r="40" spans="1:3" ht="15.75" hidden="1">
      <c r="A40" s="163" t="s">
        <v>246</v>
      </c>
      <c r="B40" s="3" t="s">
        <v>4</v>
      </c>
      <c r="C40" s="160">
        <f>C41+C45</f>
        <v>0</v>
      </c>
    </row>
    <row r="41" spans="1:3" ht="15.75" hidden="1">
      <c r="A41" s="166" t="s">
        <v>247</v>
      </c>
      <c r="B41" s="24" t="s">
        <v>143</v>
      </c>
      <c r="C41" s="160">
        <f>C42+C44+C43</f>
        <v>0</v>
      </c>
    </row>
    <row r="42" spans="1:3" ht="15.75" hidden="1">
      <c r="A42" s="161" t="s">
        <v>248</v>
      </c>
      <c r="B42" s="64" t="s">
        <v>345</v>
      </c>
      <c r="C42" s="162"/>
    </row>
    <row r="43" spans="1:3" ht="15.75" hidden="1">
      <c r="A43" s="161" t="s">
        <v>249</v>
      </c>
      <c r="B43" s="64" t="s">
        <v>204</v>
      </c>
      <c r="C43" s="162"/>
    </row>
    <row r="44" spans="1:3" ht="15.75" hidden="1">
      <c r="A44" s="161" t="s">
        <v>250</v>
      </c>
      <c r="B44" s="64" t="s">
        <v>346</v>
      </c>
      <c r="C44" s="162"/>
    </row>
    <row r="45" spans="1:3" ht="15.75" hidden="1">
      <c r="A45" s="168" t="s">
        <v>251</v>
      </c>
      <c r="B45" s="24" t="s">
        <v>218</v>
      </c>
      <c r="C45" s="160">
        <f>C46</f>
        <v>0</v>
      </c>
    </row>
    <row r="46" spans="1:3" ht="30" hidden="1">
      <c r="A46" s="161" t="s">
        <v>252</v>
      </c>
      <c r="B46" s="65" t="s">
        <v>178</v>
      </c>
      <c r="C46" s="162"/>
    </row>
    <row r="47" spans="1:3" ht="31.5">
      <c r="A47" s="163" t="s">
        <v>253</v>
      </c>
      <c r="B47" s="3" t="s">
        <v>434</v>
      </c>
      <c r="C47" s="160">
        <f>C48+C49</f>
        <v>38148</v>
      </c>
    </row>
    <row r="48" spans="1:3" ht="15.75">
      <c r="A48" s="161" t="s">
        <v>254</v>
      </c>
      <c r="B48" s="64" t="s">
        <v>5</v>
      </c>
      <c r="C48" s="162">
        <v>9808</v>
      </c>
    </row>
    <row r="49" spans="1:3" ht="15.75">
      <c r="A49" s="161" t="s">
        <v>255</v>
      </c>
      <c r="B49" s="64" t="s">
        <v>6</v>
      </c>
      <c r="C49" s="162">
        <v>28340</v>
      </c>
    </row>
    <row r="50" spans="1:3" ht="15.75">
      <c r="A50" s="155"/>
      <c r="B50" s="111" t="s">
        <v>174</v>
      </c>
      <c r="C50" s="158">
        <f>C51+C57</f>
        <v>12181088</v>
      </c>
    </row>
    <row r="51" spans="1:3" ht="15.75">
      <c r="A51" s="163" t="s">
        <v>256</v>
      </c>
      <c r="B51" s="3" t="s">
        <v>26</v>
      </c>
      <c r="C51" s="160">
        <f>C52</f>
        <v>11474909</v>
      </c>
    </row>
    <row r="52" spans="1:3" ht="15.75">
      <c r="A52" s="166" t="s">
        <v>257</v>
      </c>
      <c r="B52" s="24" t="s">
        <v>282</v>
      </c>
      <c r="C52" s="160">
        <f>C53+C54+C55+C56</f>
        <v>11474909</v>
      </c>
    </row>
    <row r="53" spans="1:3" ht="31.5">
      <c r="A53" s="99" t="s">
        <v>258</v>
      </c>
      <c r="B53" s="64" t="s">
        <v>281</v>
      </c>
      <c r="C53" s="162">
        <f>7884812+35000</f>
        <v>7919812</v>
      </c>
    </row>
    <row r="54" spans="1:3" ht="60">
      <c r="A54" s="99" t="s">
        <v>259</v>
      </c>
      <c r="B54" s="65" t="s">
        <v>283</v>
      </c>
      <c r="C54" s="162">
        <v>1481456</v>
      </c>
    </row>
    <row r="55" spans="1:3" ht="30">
      <c r="A55" s="99" t="s">
        <v>421</v>
      </c>
      <c r="B55" s="65" t="s">
        <v>899</v>
      </c>
      <c r="C55" s="162">
        <v>2073641</v>
      </c>
    </row>
    <row r="56" spans="1:3" ht="31.5" hidden="1">
      <c r="A56" s="99" t="s">
        <v>260</v>
      </c>
      <c r="B56" s="64" t="s">
        <v>284</v>
      </c>
      <c r="C56" s="162">
        <v>0</v>
      </c>
    </row>
    <row r="57" spans="1:3" ht="15.75">
      <c r="A57" s="24" t="s">
        <v>261</v>
      </c>
      <c r="B57" s="3" t="s">
        <v>141</v>
      </c>
      <c r="C57" s="160">
        <f>SUM(C58)</f>
        <v>706179</v>
      </c>
    </row>
    <row r="58" spans="1:3" ht="31.5">
      <c r="A58" s="99" t="s">
        <v>262</v>
      </c>
      <c r="B58" s="64" t="s">
        <v>285</v>
      </c>
      <c r="C58" s="162">
        <v>706179</v>
      </c>
    </row>
    <row r="59" spans="1:5" s="19" customFormat="1" ht="15.75">
      <c r="A59" s="111"/>
      <c r="B59" s="169" t="s">
        <v>179</v>
      </c>
      <c r="C59" s="63">
        <f>SUM(C60)</f>
        <v>1385627</v>
      </c>
      <c r="D59" s="59"/>
      <c r="E59" s="59"/>
    </row>
    <row r="60" spans="1:5" ht="15.75">
      <c r="A60" s="163" t="s">
        <v>263</v>
      </c>
      <c r="B60" s="3" t="s">
        <v>422</v>
      </c>
      <c r="C60" s="160">
        <f>C61+C62+C68</f>
        <v>1385627</v>
      </c>
      <c r="D60" s="25"/>
      <c r="E60" s="25"/>
    </row>
    <row r="61" spans="1:5" ht="15.75">
      <c r="A61" s="130" t="s">
        <v>398</v>
      </c>
      <c r="B61" s="124" t="s">
        <v>423</v>
      </c>
      <c r="C61" s="160">
        <v>10212</v>
      </c>
      <c r="D61" s="25"/>
      <c r="E61" s="25"/>
    </row>
    <row r="62" spans="1:5" ht="31.5">
      <c r="A62" s="166" t="s">
        <v>264</v>
      </c>
      <c r="B62" s="24" t="s">
        <v>424</v>
      </c>
      <c r="C62" s="160">
        <f>C63+C64+C65+C66+C67</f>
        <v>1321116</v>
      </c>
      <c r="D62" s="25"/>
      <c r="E62" s="25"/>
    </row>
    <row r="63" spans="1:5" ht="47.25" hidden="1">
      <c r="A63" s="161" t="s">
        <v>265</v>
      </c>
      <c r="B63" s="64" t="s">
        <v>142</v>
      </c>
      <c r="C63" s="162"/>
      <c r="D63" s="25"/>
      <c r="E63" s="25"/>
    </row>
    <row r="64" spans="1:5" ht="15.75">
      <c r="A64" s="161" t="s">
        <v>266</v>
      </c>
      <c r="B64" s="64" t="s">
        <v>7</v>
      </c>
      <c r="C64" s="162">
        <v>245280</v>
      </c>
      <c r="D64" s="25"/>
      <c r="E64" s="25"/>
    </row>
    <row r="65" spans="1:5" ht="31.5">
      <c r="A65" s="161" t="s">
        <v>267</v>
      </c>
      <c r="B65" s="64" t="s">
        <v>8</v>
      </c>
      <c r="C65" s="162">
        <v>600</v>
      </c>
      <c r="D65" s="25"/>
      <c r="E65" s="25"/>
    </row>
    <row r="66" spans="1:5" ht="15.75">
      <c r="A66" s="161" t="s">
        <v>268</v>
      </c>
      <c r="B66" s="64" t="s">
        <v>9</v>
      </c>
      <c r="C66" s="162">
        <v>366660</v>
      </c>
      <c r="D66" s="25"/>
      <c r="E66" s="25"/>
    </row>
    <row r="67" spans="1:5" ht="31.5">
      <c r="A67" s="161" t="s">
        <v>269</v>
      </c>
      <c r="B67" s="64" t="s">
        <v>425</v>
      </c>
      <c r="C67" s="162">
        <v>708576</v>
      </c>
      <c r="D67" s="25"/>
      <c r="E67" s="25"/>
    </row>
    <row r="68" spans="1:5" ht="15.75">
      <c r="A68" s="166" t="s">
        <v>347</v>
      </c>
      <c r="B68" s="24" t="s">
        <v>286</v>
      </c>
      <c r="C68" s="160">
        <f>47299+7000</f>
        <v>54299</v>
      </c>
      <c r="D68" s="25"/>
      <c r="E68" s="25"/>
    </row>
    <row r="69" spans="1:3" ht="18.75">
      <c r="A69" s="170"/>
      <c r="B69" s="156" t="s">
        <v>175</v>
      </c>
      <c r="C69" s="157">
        <f>SUM(C70:C71)</f>
        <v>3824239</v>
      </c>
    </row>
    <row r="70" spans="1:3" ht="15.75">
      <c r="A70" s="171" t="s">
        <v>180</v>
      </c>
      <c r="B70" s="172" t="s">
        <v>453</v>
      </c>
      <c r="C70" s="165">
        <v>2674979</v>
      </c>
    </row>
    <row r="71" spans="1:3" ht="15.75">
      <c r="A71" s="173" t="s">
        <v>18</v>
      </c>
      <c r="B71" s="174" t="s">
        <v>19</v>
      </c>
      <c r="C71" s="165">
        <v>1149260</v>
      </c>
    </row>
    <row r="72" spans="1:3" ht="20.25">
      <c r="A72" s="170"/>
      <c r="B72" s="175" t="s">
        <v>177</v>
      </c>
      <c r="C72" s="176">
        <f>C9+C69</f>
        <v>57066563</v>
      </c>
    </row>
    <row r="73" spans="1:3" ht="18.75">
      <c r="A73" s="25"/>
      <c r="B73" s="5"/>
      <c r="C73" s="6"/>
    </row>
    <row r="74" spans="1:3" ht="20.25">
      <c r="A74" s="4" t="s">
        <v>27</v>
      </c>
      <c r="B74" s="13"/>
      <c r="C74" s="11" t="s">
        <v>83</v>
      </c>
    </row>
    <row r="81" spans="2:3" ht="15.75">
      <c r="B81" s="42"/>
      <c r="C81" s="38"/>
    </row>
  </sheetData>
  <sheetProtection/>
  <printOptions horizontalCentered="1"/>
  <pageMargins left="0.984251968503937" right="0.984251968503937" top="0.7874015748031497" bottom="0.7874015748031497" header="0.1968503937007874" footer="0.1968503937007874"/>
  <pageSetup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48" sqref="G48"/>
    </sheetView>
  </sheetViews>
  <sheetFormatPr defaultColWidth="9.140625" defaultRowHeight="12.75"/>
  <cols>
    <col min="1" max="1" width="10.7109375" style="0" customWidth="1"/>
    <col min="2" max="2" width="60.7109375" style="0" customWidth="1"/>
    <col min="3" max="3" width="13.00390625" style="0" customWidth="1"/>
    <col min="4" max="4" width="14.7109375" style="0" customWidth="1"/>
    <col min="5" max="5" width="12.00390625" style="0" customWidth="1"/>
    <col min="6" max="6" width="14.140625" style="0" customWidth="1"/>
    <col min="7" max="7" width="12.00390625" style="0" customWidth="1"/>
    <col min="8" max="8" width="13.00390625" style="0" customWidth="1"/>
    <col min="9" max="9" width="14.42187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10" t="s">
        <v>168</v>
      </c>
    </row>
    <row r="2" spans="1:8" ht="15">
      <c r="A2" s="2"/>
      <c r="B2" s="2"/>
      <c r="C2" s="2"/>
      <c r="D2" s="2"/>
      <c r="E2" s="2"/>
      <c r="F2" s="2"/>
      <c r="G2" s="2"/>
      <c r="H2" s="12" t="s">
        <v>916</v>
      </c>
    </row>
    <row r="3" spans="1:8" ht="15">
      <c r="A3" s="2"/>
      <c r="B3" s="2"/>
      <c r="C3" s="2"/>
      <c r="D3" s="2"/>
      <c r="E3" s="2"/>
      <c r="F3" s="2"/>
      <c r="G3" s="2"/>
      <c r="H3" s="68" t="s">
        <v>915</v>
      </c>
    </row>
    <row r="4" spans="1:8" ht="20.25">
      <c r="A4" s="430" t="s">
        <v>427</v>
      </c>
      <c r="B4" s="430"/>
      <c r="C4" s="430"/>
      <c r="D4" s="430"/>
      <c r="E4" s="430"/>
      <c r="F4" s="430"/>
      <c r="G4" s="430"/>
      <c r="H4" s="430"/>
    </row>
    <row r="5" spans="1:8" ht="20.25">
      <c r="A5" s="433" t="s">
        <v>389</v>
      </c>
      <c r="B5" s="433"/>
      <c r="C5" s="433"/>
      <c r="D5" s="433"/>
      <c r="E5" s="433"/>
      <c r="F5" s="433"/>
      <c r="G5" s="433"/>
      <c r="H5" s="433"/>
    </row>
    <row r="6" spans="1:8" ht="20.25">
      <c r="A6" s="417"/>
      <c r="B6" s="417"/>
      <c r="C6" s="417"/>
      <c r="D6" s="417"/>
      <c r="E6" s="417"/>
      <c r="F6" s="417"/>
      <c r="G6" s="417"/>
      <c r="H6" s="418" t="s">
        <v>387</v>
      </c>
    </row>
    <row r="7" spans="1:8" s="27" customFormat="1" ht="14.25">
      <c r="A7" s="432" t="s">
        <v>230</v>
      </c>
      <c r="B7" s="432" t="s">
        <v>30</v>
      </c>
      <c r="C7" s="432" t="s">
        <v>428</v>
      </c>
      <c r="D7" s="431" t="s">
        <v>54</v>
      </c>
      <c r="E7" s="431"/>
      <c r="F7" s="431"/>
      <c r="G7" s="431"/>
      <c r="H7" s="431"/>
    </row>
    <row r="8" spans="1:8" s="27" customFormat="1" ht="71.25">
      <c r="A8" s="432"/>
      <c r="B8" s="432"/>
      <c r="C8" s="432"/>
      <c r="D8" s="169" t="s">
        <v>271</v>
      </c>
      <c r="E8" s="169" t="s">
        <v>272</v>
      </c>
      <c r="F8" s="169" t="s">
        <v>26</v>
      </c>
      <c r="G8" s="169" t="s">
        <v>274</v>
      </c>
      <c r="H8" s="169" t="s">
        <v>426</v>
      </c>
    </row>
    <row r="9" spans="1:8" s="28" customFormat="1" ht="38.25" customHeight="1">
      <c r="A9" s="419"/>
      <c r="B9" s="420" t="s">
        <v>29</v>
      </c>
      <c r="C9" s="421">
        <f aca="true" t="shared" si="0" ref="C9:H9">C10+C11+C12+C13+C14+C16+C17+C18+C15</f>
        <v>50983856</v>
      </c>
      <c r="D9" s="421">
        <f t="shared" si="0"/>
        <v>39272551</v>
      </c>
      <c r="E9" s="422">
        <f t="shared" si="0"/>
        <v>1429327</v>
      </c>
      <c r="F9" s="422">
        <f t="shared" si="0"/>
        <v>8338870</v>
      </c>
      <c r="G9" s="422">
        <f t="shared" si="0"/>
        <v>706179</v>
      </c>
      <c r="H9" s="422">
        <f t="shared" si="0"/>
        <v>1236929</v>
      </c>
    </row>
    <row r="10" spans="1:10" ht="15">
      <c r="A10" s="423" t="s">
        <v>31</v>
      </c>
      <c r="B10" s="15" t="s">
        <v>10</v>
      </c>
      <c r="C10" s="45">
        <f>D10+E10+F10+G10+H10</f>
        <v>5991452</v>
      </c>
      <c r="D10" s="21">
        <f>'3.pielikums'!D10</f>
        <v>5079663</v>
      </c>
      <c r="E10" s="21">
        <f>'3.pielikums'!E10</f>
        <v>84000</v>
      </c>
      <c r="F10" s="21">
        <f>'3.pielikums'!F10</f>
        <v>14000</v>
      </c>
      <c r="G10" s="21">
        <f>'3.pielikums'!G10</f>
        <v>646431</v>
      </c>
      <c r="H10" s="21">
        <f>'3.pielikums'!H10</f>
        <v>167358</v>
      </c>
      <c r="J10" s="22"/>
    </row>
    <row r="11" spans="1:8" ht="15">
      <c r="A11" s="423" t="s">
        <v>32</v>
      </c>
      <c r="B11" s="15" t="s">
        <v>12</v>
      </c>
      <c r="C11" s="45">
        <f aca="true" t="shared" si="1" ref="C11:C24">D11+E11+F11+G11+H11</f>
        <v>2946122</v>
      </c>
      <c r="D11" s="21">
        <f>'3.pielikums'!D27</f>
        <v>2708532</v>
      </c>
      <c r="E11" s="21">
        <f>'3.pielikums'!E27</f>
        <v>185300</v>
      </c>
      <c r="F11" s="21">
        <f>'3.pielikums'!F27</f>
        <v>0</v>
      </c>
      <c r="G11" s="23">
        <f>'3.pielikums'!G27</f>
        <v>0</v>
      </c>
      <c r="H11" s="21">
        <f>'3.pielikums'!H27</f>
        <v>52290</v>
      </c>
    </row>
    <row r="12" spans="1:8" ht="15">
      <c r="A12" s="423" t="s">
        <v>33</v>
      </c>
      <c r="B12" s="15" t="s">
        <v>13</v>
      </c>
      <c r="C12" s="45">
        <f t="shared" si="1"/>
        <v>2057486</v>
      </c>
      <c r="D12" s="21">
        <f>'3.pielikums'!D32</f>
        <v>1934751</v>
      </c>
      <c r="E12" s="21">
        <f>'3.pielikums'!E32</f>
        <v>79950</v>
      </c>
      <c r="F12" s="21">
        <f>'3.pielikums'!F32</f>
        <v>0</v>
      </c>
      <c r="G12" s="23">
        <f>'3.pielikums'!G32</f>
        <v>34060</v>
      </c>
      <c r="H12" s="21">
        <f>'3.pielikums'!H32</f>
        <v>8725</v>
      </c>
    </row>
    <row r="13" spans="1:8" ht="15">
      <c r="A13" s="423" t="s">
        <v>34</v>
      </c>
      <c r="B13" s="15" t="s">
        <v>14</v>
      </c>
      <c r="C13" s="45">
        <f t="shared" si="1"/>
        <v>1508636</v>
      </c>
      <c r="D13" s="21">
        <f>'3.pielikums'!D53</f>
        <v>1507783</v>
      </c>
      <c r="E13" s="21">
        <f>'3.pielikums'!E53</f>
        <v>0</v>
      </c>
      <c r="F13" s="21">
        <f>'3.pielikums'!F53</f>
        <v>853</v>
      </c>
      <c r="G13" s="23">
        <f>'3.pielikums'!G53</f>
        <v>0</v>
      </c>
      <c r="H13" s="21">
        <f>'3.pielikums'!H53</f>
        <v>0</v>
      </c>
    </row>
    <row r="14" spans="1:8" ht="15">
      <c r="A14" s="423" t="s">
        <v>35</v>
      </c>
      <c r="B14" s="15" t="s">
        <v>181</v>
      </c>
      <c r="C14" s="45">
        <f t="shared" si="1"/>
        <v>3713534</v>
      </c>
      <c r="D14" s="21">
        <f>'3.pielikums'!D62</f>
        <v>3583548</v>
      </c>
      <c r="E14" s="21">
        <f>'3.pielikums'!E62</f>
        <v>116700</v>
      </c>
      <c r="F14" s="21">
        <f>'3.pielikums'!F62</f>
        <v>13000</v>
      </c>
      <c r="G14" s="23">
        <f>'3.pielikums'!G62</f>
        <v>0</v>
      </c>
      <c r="H14" s="21">
        <f>'3.pielikums'!H62</f>
        <v>286</v>
      </c>
    </row>
    <row r="15" spans="1:8" ht="15">
      <c r="A15" s="423" t="s">
        <v>165</v>
      </c>
      <c r="B15" s="15" t="s">
        <v>166</v>
      </c>
      <c r="C15" s="45">
        <f t="shared" si="1"/>
        <v>122175</v>
      </c>
      <c r="D15" s="21">
        <f>'3.pielikums'!D71</f>
        <v>122175</v>
      </c>
      <c r="E15" s="21">
        <f>'3.pielikums'!E71</f>
        <v>0</v>
      </c>
      <c r="F15" s="21">
        <f>'3.pielikums'!F71</f>
        <v>0</v>
      </c>
      <c r="G15" s="23">
        <f>'3.pielikums'!G71</f>
        <v>0</v>
      </c>
      <c r="H15" s="21">
        <f>'3.pielikums'!H71</f>
        <v>0</v>
      </c>
    </row>
    <row r="16" spans="1:8" ht="15">
      <c r="A16" s="423" t="s">
        <v>36</v>
      </c>
      <c r="B16" s="15" t="s">
        <v>15</v>
      </c>
      <c r="C16" s="45">
        <f t="shared" si="1"/>
        <v>5592749</v>
      </c>
      <c r="D16" s="21">
        <f>'3.pielikums'!D77</f>
        <v>5101573</v>
      </c>
      <c r="E16" s="21">
        <f>'3.pielikums'!E77</f>
        <v>351178</v>
      </c>
      <c r="F16" s="21">
        <f>'3.pielikums'!F77</f>
        <v>19096</v>
      </c>
      <c r="G16" s="23">
        <f>'3.pielikums'!G77</f>
        <v>18488</v>
      </c>
      <c r="H16" s="21">
        <f>'3.pielikums'!H77</f>
        <v>102414</v>
      </c>
    </row>
    <row r="17" spans="1:8" ht="15">
      <c r="A17" s="423" t="s">
        <v>37</v>
      </c>
      <c r="B17" s="15" t="s">
        <v>16</v>
      </c>
      <c r="C17" s="45">
        <f t="shared" si="1"/>
        <v>24266442</v>
      </c>
      <c r="D17" s="21">
        <f>'3.pielikums'!D105</f>
        <v>14849363</v>
      </c>
      <c r="E17" s="21">
        <f>'3.pielikums'!E105</f>
        <v>577640</v>
      </c>
      <c r="F17" s="21">
        <f>'3.pielikums'!F105</f>
        <v>7970657</v>
      </c>
      <c r="G17" s="21">
        <f>'3.pielikums'!G105</f>
        <v>7200</v>
      </c>
      <c r="H17" s="21">
        <f>'3.pielikums'!H105</f>
        <v>861582</v>
      </c>
    </row>
    <row r="18" spans="1:8" ht="15">
      <c r="A18" s="424" t="s">
        <v>38</v>
      </c>
      <c r="B18" s="425" t="s">
        <v>17</v>
      </c>
      <c r="C18" s="45">
        <f t="shared" si="1"/>
        <v>4785260</v>
      </c>
      <c r="D18" s="23">
        <f>'3.pielikums'!D137</f>
        <v>4385163</v>
      </c>
      <c r="E18" s="23">
        <f>'3.pielikums'!E137</f>
        <v>34559</v>
      </c>
      <c r="F18" s="23">
        <f>'3.pielikums'!F137</f>
        <v>321264</v>
      </c>
      <c r="G18" s="23">
        <f>'3.pielikums'!G137</f>
        <v>0</v>
      </c>
      <c r="H18" s="23">
        <f>'3.pielikums'!H137</f>
        <v>44274</v>
      </c>
    </row>
    <row r="19" spans="1:8" s="28" customFormat="1" ht="22.5" customHeight="1">
      <c r="A19" s="419"/>
      <c r="B19" s="419" t="s">
        <v>53</v>
      </c>
      <c r="C19" s="421">
        <f>C20+C21+C25</f>
        <v>6082707</v>
      </c>
      <c r="D19" s="421">
        <f>D20+D21</f>
        <v>908618</v>
      </c>
      <c r="E19" s="421">
        <f>E20+E21</f>
        <v>0</v>
      </c>
      <c r="F19" s="421">
        <f>F20+F21</f>
        <v>3136039</v>
      </c>
      <c r="G19" s="421">
        <f>G20+G21</f>
        <v>0</v>
      </c>
      <c r="H19" s="421">
        <f>H20+H21</f>
        <v>1438050</v>
      </c>
    </row>
    <row r="20" spans="1:8" ht="16.5" customHeight="1">
      <c r="A20" s="416" t="s">
        <v>182</v>
      </c>
      <c r="B20" s="426" t="s">
        <v>183</v>
      </c>
      <c r="C20" s="45">
        <f t="shared" si="1"/>
        <v>4926440</v>
      </c>
      <c r="D20" s="21">
        <f>'3.pielikums'!D169</f>
        <v>352351</v>
      </c>
      <c r="E20" s="21">
        <f>'3.pielikums'!E169</f>
        <v>0</v>
      </c>
      <c r="F20" s="21">
        <f>'3.pielikums'!F169</f>
        <v>3136039</v>
      </c>
      <c r="G20" s="21">
        <f>'3.pielikums'!G169</f>
        <v>0</v>
      </c>
      <c r="H20" s="21">
        <f>'3.pielikums'!H169</f>
        <v>1438050</v>
      </c>
    </row>
    <row r="21" spans="1:8" ht="17.25" customHeight="1">
      <c r="A21" s="416" t="s">
        <v>98</v>
      </c>
      <c r="B21" s="15" t="s">
        <v>167</v>
      </c>
      <c r="C21" s="45">
        <f t="shared" si="1"/>
        <v>556267</v>
      </c>
      <c r="D21" s="21">
        <f>'3.pielikums'!D170</f>
        <v>556267</v>
      </c>
      <c r="E21" s="21">
        <f>'3.pielikums'!E170</f>
        <v>0</v>
      </c>
      <c r="F21" s="21">
        <f>'3.pielikums'!F170</f>
        <v>0</v>
      </c>
      <c r="G21" s="21">
        <f>'3.pielikums'!G170</f>
        <v>0</v>
      </c>
      <c r="H21" s="21">
        <f>'3.pielikums'!H170</f>
        <v>0</v>
      </c>
    </row>
    <row r="22" spans="1:8" ht="15">
      <c r="A22" s="416"/>
      <c r="B22" s="36" t="s">
        <v>348</v>
      </c>
      <c r="C22" s="21">
        <f t="shared" si="1"/>
        <v>15000</v>
      </c>
      <c r="D22" s="21">
        <f>'3.pielikums'!D171</f>
        <v>15000</v>
      </c>
      <c r="E22" s="21">
        <f>'3.pielikums'!E171</f>
        <v>0</v>
      </c>
      <c r="F22" s="21">
        <f>'3.pielikums'!F171</f>
        <v>0</v>
      </c>
      <c r="G22" s="21">
        <f>'3.pielikums'!G171</f>
        <v>0</v>
      </c>
      <c r="H22" s="21">
        <f>'3.pielikums'!H171</f>
        <v>0</v>
      </c>
    </row>
    <row r="23" spans="1:8" ht="15">
      <c r="A23" s="416"/>
      <c r="B23" s="36" t="s">
        <v>349</v>
      </c>
      <c r="C23" s="21">
        <f t="shared" si="1"/>
        <v>50000</v>
      </c>
      <c r="D23" s="21">
        <f>'3.pielikums'!D172</f>
        <v>50000</v>
      </c>
      <c r="E23" s="21"/>
      <c r="F23" s="21"/>
      <c r="G23" s="21"/>
      <c r="H23" s="21"/>
    </row>
    <row r="24" spans="1:9" ht="15.75">
      <c r="A24" s="163"/>
      <c r="B24" s="36" t="s">
        <v>150</v>
      </c>
      <c r="C24" s="21">
        <f t="shared" si="1"/>
        <v>491267</v>
      </c>
      <c r="D24" s="21">
        <f>'3.pielikums'!D173</f>
        <v>491267</v>
      </c>
      <c r="E24" s="21">
        <f>'3.pielikums'!E173</f>
        <v>0</v>
      </c>
      <c r="F24" s="21">
        <f>'3.pielikums'!F173</f>
        <v>0</v>
      </c>
      <c r="G24" s="21">
        <f>'3.pielikums'!G173</f>
        <v>0</v>
      </c>
      <c r="H24" s="21">
        <f>'3.pielikums'!H173</f>
        <v>0</v>
      </c>
      <c r="I24" s="18"/>
    </row>
    <row r="25" spans="1:9" ht="15.75">
      <c r="A25" s="180" t="s">
        <v>180</v>
      </c>
      <c r="B25" s="181" t="s">
        <v>450</v>
      </c>
      <c r="C25" s="21">
        <f>'3.pielikums'!C174</f>
        <v>600000</v>
      </c>
      <c r="D25" s="21"/>
      <c r="E25" s="21"/>
      <c r="F25" s="21"/>
      <c r="G25" s="21"/>
      <c r="H25" s="21"/>
      <c r="I25" s="18"/>
    </row>
    <row r="26" spans="1:8" s="29" customFormat="1" ht="21.75" customHeight="1">
      <c r="A26" s="427"/>
      <c r="B26" s="428" t="s">
        <v>82</v>
      </c>
      <c r="C26" s="429">
        <f aca="true" t="shared" si="2" ref="C26:H26">C9+C19</f>
        <v>57066563</v>
      </c>
      <c r="D26" s="429">
        <f t="shared" si="2"/>
        <v>40181169</v>
      </c>
      <c r="E26" s="429">
        <f t="shared" si="2"/>
        <v>1429327</v>
      </c>
      <c r="F26" s="429">
        <f t="shared" si="2"/>
        <v>11474909</v>
      </c>
      <c r="G26" s="429">
        <f t="shared" si="2"/>
        <v>706179</v>
      </c>
      <c r="H26" s="429">
        <f t="shared" si="2"/>
        <v>2674979</v>
      </c>
    </row>
    <row r="27" spans="1:4" s="14" customFormat="1" ht="18.75">
      <c r="A27" s="4"/>
      <c r="B27" s="16"/>
      <c r="C27" s="17"/>
      <c r="D27" s="44"/>
    </row>
    <row r="28" spans="1:8" ht="18.75">
      <c r="A28" s="69" t="s">
        <v>27</v>
      </c>
      <c r="B28" s="69"/>
      <c r="C28" s="70"/>
      <c r="D28" s="71"/>
      <c r="E28" s="70"/>
      <c r="F28" s="14"/>
      <c r="G28" s="14"/>
      <c r="H28" s="72" t="s">
        <v>83</v>
      </c>
    </row>
    <row r="29" ht="12.75">
      <c r="C29" s="22"/>
    </row>
    <row r="30" s="9" customFormat="1" ht="20.25">
      <c r="C30" s="43"/>
    </row>
  </sheetData>
  <sheetProtection/>
  <mergeCells count="6">
    <mergeCell ref="A4:H4"/>
    <mergeCell ref="D7:H7"/>
    <mergeCell ref="C7:C8"/>
    <mergeCell ref="A7:A8"/>
    <mergeCell ref="B7:B8"/>
    <mergeCell ref="A5:H5"/>
  </mergeCell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zoomScale="90" zoomScaleNormal="90" zoomScalePageLayoutView="0" workbookViewId="0" topLeftCell="A1">
      <pane ySplit="8" topLeftCell="A167" activePane="bottomLeft" state="frozen"/>
      <selection pane="topLeft" activeCell="A1" sqref="A1"/>
      <selection pane="bottomLeft" activeCell="A1" sqref="A1:H178"/>
    </sheetView>
  </sheetViews>
  <sheetFormatPr defaultColWidth="9.140625" defaultRowHeight="12.75"/>
  <cols>
    <col min="1" max="1" width="11.57421875" style="26" customWidth="1"/>
    <col min="2" max="2" width="48.421875" style="34" customWidth="1"/>
    <col min="3" max="3" width="14.57421875" style="1" customWidth="1"/>
    <col min="4" max="4" width="13.7109375" style="30" customWidth="1"/>
    <col min="5" max="5" width="12.140625" style="1" customWidth="1"/>
    <col min="6" max="6" width="13.28125" style="1" customWidth="1"/>
    <col min="7" max="7" width="11.7109375" style="1" customWidth="1"/>
    <col min="8" max="8" width="13.57421875" style="1" customWidth="1"/>
    <col min="9" max="16384" width="9.140625" style="1" customWidth="1"/>
  </cols>
  <sheetData>
    <row r="1" ht="15.75">
      <c r="H1" s="58" t="s">
        <v>80</v>
      </c>
    </row>
    <row r="2" ht="15.75">
      <c r="H2" s="58" t="s">
        <v>914</v>
      </c>
    </row>
    <row r="3" ht="15.75">
      <c r="H3" s="68" t="s">
        <v>915</v>
      </c>
    </row>
    <row r="4" spans="1:8" ht="15.75">
      <c r="A4" s="434" t="s">
        <v>427</v>
      </c>
      <c r="B4" s="435"/>
      <c r="C4" s="435"/>
      <c r="D4" s="435"/>
      <c r="E4" s="435"/>
      <c r="F4" s="435"/>
      <c r="G4" s="435"/>
      <c r="H4" s="435"/>
    </row>
    <row r="5" spans="1:8" ht="15.75">
      <c r="A5" s="434" t="s">
        <v>81</v>
      </c>
      <c r="B5" s="435"/>
      <c r="C5" s="435"/>
      <c r="D5" s="435"/>
      <c r="E5" s="435"/>
      <c r="F5" s="435"/>
      <c r="G5" s="435"/>
      <c r="H5" s="435"/>
    </row>
    <row r="6" ht="15.75">
      <c r="H6" s="10" t="s">
        <v>387</v>
      </c>
    </row>
    <row r="7" spans="1:8" ht="15.75">
      <c r="A7" s="438" t="s">
        <v>206</v>
      </c>
      <c r="B7" s="440" t="s">
        <v>30</v>
      </c>
      <c r="C7" s="438" t="s">
        <v>429</v>
      </c>
      <c r="D7" s="436" t="s">
        <v>54</v>
      </c>
      <c r="E7" s="437"/>
      <c r="F7" s="437"/>
      <c r="G7" s="437"/>
      <c r="H7" s="437"/>
    </row>
    <row r="8" spans="1:8" s="31" customFormat="1" ht="72">
      <c r="A8" s="439"/>
      <c r="B8" s="441"/>
      <c r="C8" s="439"/>
      <c r="D8" s="116" t="s">
        <v>271</v>
      </c>
      <c r="E8" s="116" t="s">
        <v>272</v>
      </c>
      <c r="F8" s="116" t="s">
        <v>273</v>
      </c>
      <c r="G8" s="116" t="s">
        <v>274</v>
      </c>
      <c r="H8" s="116" t="s">
        <v>426</v>
      </c>
    </row>
    <row r="9" spans="1:8" s="32" customFormat="1" ht="36" customHeight="1">
      <c r="A9" s="117"/>
      <c r="B9" s="93" t="s">
        <v>29</v>
      </c>
      <c r="C9" s="118">
        <f>SUM(D9+E9+F9+G9+H9)</f>
        <v>50983856</v>
      </c>
      <c r="D9" s="118">
        <f>SUM(D10+D27+D32+D53+D62+D77+D105+D137+D71)</f>
        <v>39272551</v>
      </c>
      <c r="E9" s="118">
        <f>SUM(E10+E27+E32+E53+E62+E77+E105+E137+E71)</f>
        <v>1429327</v>
      </c>
      <c r="F9" s="118">
        <f>SUM(F10+F27+F32+F53+F62+F77+F105+F137+F71)</f>
        <v>8338870</v>
      </c>
      <c r="G9" s="118">
        <f>SUM(G10+G27+G32+G53+G62+G77+G105+G137+G71)</f>
        <v>706179</v>
      </c>
      <c r="H9" s="118">
        <f>SUM(H10+H27+H32+H53+H62+H77+H105+H137+H71)</f>
        <v>1236929</v>
      </c>
    </row>
    <row r="10" spans="1:8" s="32" customFormat="1" ht="15.75">
      <c r="A10" s="119" t="s">
        <v>31</v>
      </c>
      <c r="B10" s="62" t="s">
        <v>10</v>
      </c>
      <c r="C10" s="63">
        <f aca="true" t="shared" si="0" ref="C10:C93">SUM(D10+E10+F10+G10+H10)</f>
        <v>5991452</v>
      </c>
      <c r="D10" s="63">
        <f>SUM(D11+D15+D19+D20+D21+D22+D26)</f>
        <v>5079663</v>
      </c>
      <c r="E10" s="63">
        <f>SUM(E11+E15+E19+E20+E21+E22+E26)</f>
        <v>84000</v>
      </c>
      <c r="F10" s="63">
        <f>SUM(F11+F15+F19+F20+F21+F22+F26)</f>
        <v>14000</v>
      </c>
      <c r="G10" s="63">
        <f>SUM(G11+G15+G19+G20+G21+G22+G26)</f>
        <v>646431</v>
      </c>
      <c r="H10" s="63">
        <f>SUM(H11+H15+H19+H20+H21+H22+H26)</f>
        <v>167358</v>
      </c>
    </row>
    <row r="11" spans="1:8" ht="15.75">
      <c r="A11" s="120" t="s">
        <v>41</v>
      </c>
      <c r="B11" s="35" t="s">
        <v>275</v>
      </c>
      <c r="C11" s="45">
        <f>SUM(D11+E11+F11+G11+H11)</f>
        <v>3492492</v>
      </c>
      <c r="D11" s="121">
        <f>D12+D13+D14</f>
        <v>3353480</v>
      </c>
      <c r="E11" s="121">
        <f>E12+E13+E14</f>
        <v>84000</v>
      </c>
      <c r="F11" s="121">
        <f>F12+F13+F14</f>
        <v>14000</v>
      </c>
      <c r="G11" s="121">
        <f>G12+G13+G14</f>
        <v>0</v>
      </c>
      <c r="H11" s="121">
        <f>H12+H13+H14</f>
        <v>41012</v>
      </c>
    </row>
    <row r="12" spans="1:8" s="8" customFormat="1" ht="15.75">
      <c r="A12" s="122" t="s">
        <v>205</v>
      </c>
      <c r="B12" s="85" t="s">
        <v>207</v>
      </c>
      <c r="C12" s="48">
        <f>SUM(D12:H12)</f>
        <v>3424800</v>
      </c>
      <c r="D12" s="178">
        <v>3340775</v>
      </c>
      <c r="E12" s="49">
        <v>84000</v>
      </c>
      <c r="F12" s="47"/>
      <c r="G12" s="47"/>
      <c r="H12" s="47">
        <f>25</f>
        <v>25</v>
      </c>
    </row>
    <row r="13" spans="1:8" s="8" customFormat="1" ht="30">
      <c r="A13" s="123" t="s">
        <v>436</v>
      </c>
      <c r="B13" s="86" t="s">
        <v>437</v>
      </c>
      <c r="C13" s="48">
        <f>SUM(D13:H13)</f>
        <v>53692</v>
      </c>
      <c r="D13" s="178">
        <v>12705</v>
      </c>
      <c r="E13" s="49"/>
      <c r="F13" s="47"/>
      <c r="G13" s="47"/>
      <c r="H13" s="47">
        <v>40987</v>
      </c>
    </row>
    <row r="14" spans="1:8" s="8" customFormat="1" ht="45">
      <c r="A14" s="123" t="s">
        <v>438</v>
      </c>
      <c r="B14" s="86" t="s">
        <v>454</v>
      </c>
      <c r="C14" s="48">
        <f>SUM(D14:H14)</f>
        <v>14000</v>
      </c>
      <c r="D14" s="178"/>
      <c r="E14" s="49"/>
      <c r="F14" s="47">
        <v>14000</v>
      </c>
      <c r="G14" s="47"/>
      <c r="H14" s="47"/>
    </row>
    <row r="15" spans="1:8" ht="15.75">
      <c r="A15" s="120" t="s">
        <v>39</v>
      </c>
      <c r="B15" s="35" t="s">
        <v>65</v>
      </c>
      <c r="C15" s="50">
        <f>SUM(C16:C18)</f>
        <v>307753</v>
      </c>
      <c r="D15" s="45">
        <f>D16+D18+D17</f>
        <v>307510</v>
      </c>
      <c r="E15" s="45">
        <f>E16+E18+E17</f>
        <v>0</v>
      </c>
      <c r="F15" s="45">
        <f>F16+F18+F17</f>
        <v>0</v>
      </c>
      <c r="G15" s="45">
        <f>G16+G18+G17</f>
        <v>0</v>
      </c>
      <c r="H15" s="45">
        <f>H16+H18+H17</f>
        <v>243</v>
      </c>
    </row>
    <row r="16" spans="1:8" s="8" customFormat="1" ht="30">
      <c r="A16" s="123" t="s">
        <v>153</v>
      </c>
      <c r="B16" s="86" t="s">
        <v>891</v>
      </c>
      <c r="C16" s="48">
        <f t="shared" si="0"/>
        <v>42943</v>
      </c>
      <c r="D16" s="47">
        <v>42700</v>
      </c>
      <c r="E16" s="47"/>
      <c r="F16" s="47"/>
      <c r="G16" s="47"/>
      <c r="H16" s="49">
        <v>243</v>
      </c>
    </row>
    <row r="17" spans="1:8" s="8" customFormat="1" ht="30">
      <c r="A17" s="122" t="s">
        <v>154</v>
      </c>
      <c r="B17" s="85" t="s">
        <v>892</v>
      </c>
      <c r="C17" s="48">
        <f t="shared" si="0"/>
        <v>191225</v>
      </c>
      <c r="D17" s="49">
        <v>191225</v>
      </c>
      <c r="E17" s="47"/>
      <c r="F17" s="47"/>
      <c r="G17" s="47"/>
      <c r="H17" s="47"/>
    </row>
    <row r="18" spans="1:8" s="8" customFormat="1" ht="31.5" customHeight="1">
      <c r="A18" s="122" t="s">
        <v>270</v>
      </c>
      <c r="B18" s="86" t="s">
        <v>229</v>
      </c>
      <c r="C18" s="48">
        <f>SUM(D18+E18+F18+G18+H18)</f>
        <v>73585</v>
      </c>
      <c r="D18" s="49">
        <v>73585</v>
      </c>
      <c r="E18" s="47"/>
      <c r="F18" s="47"/>
      <c r="G18" s="47"/>
      <c r="H18" s="47"/>
    </row>
    <row r="19" spans="1:8" ht="15.75">
      <c r="A19" s="120" t="s">
        <v>48</v>
      </c>
      <c r="B19" s="88" t="s">
        <v>459</v>
      </c>
      <c r="C19" s="48">
        <f t="shared" si="0"/>
        <v>525702</v>
      </c>
      <c r="D19" s="48">
        <v>525702</v>
      </c>
      <c r="E19" s="46"/>
      <c r="F19" s="46"/>
      <c r="G19" s="46"/>
      <c r="H19" s="46"/>
    </row>
    <row r="20" spans="1:8" ht="29.25" hidden="1">
      <c r="A20" s="120" t="s">
        <v>307</v>
      </c>
      <c r="B20" s="35" t="s">
        <v>314</v>
      </c>
      <c r="C20" s="48">
        <f t="shared" si="0"/>
        <v>0</v>
      </c>
      <c r="D20" s="46"/>
      <c r="E20" s="46"/>
      <c r="F20" s="46"/>
      <c r="G20" s="46"/>
      <c r="H20" s="46"/>
    </row>
    <row r="21" spans="1:8" ht="15.75">
      <c r="A21" s="120" t="s">
        <v>40</v>
      </c>
      <c r="B21" s="88" t="s">
        <v>460</v>
      </c>
      <c r="C21" s="48">
        <f t="shared" si="0"/>
        <v>300000</v>
      </c>
      <c r="D21" s="46">
        <v>300000</v>
      </c>
      <c r="E21" s="46"/>
      <c r="F21" s="46"/>
      <c r="G21" s="48"/>
      <c r="H21" s="48"/>
    </row>
    <row r="22" spans="1:8" ht="28.5">
      <c r="A22" s="124" t="s">
        <v>42</v>
      </c>
      <c r="B22" s="37" t="s">
        <v>11</v>
      </c>
      <c r="C22" s="50">
        <f t="shared" si="0"/>
        <v>992824</v>
      </c>
      <c r="D22" s="50">
        <f>D23+D24+D25</f>
        <v>220290</v>
      </c>
      <c r="E22" s="50">
        <f>E23+E24+E25</f>
        <v>0</v>
      </c>
      <c r="F22" s="50">
        <f>F23+F24+F25</f>
        <v>0</v>
      </c>
      <c r="G22" s="50">
        <f>G23+G24+G25</f>
        <v>646431</v>
      </c>
      <c r="H22" s="50">
        <f>H23+H24+H25</f>
        <v>126103</v>
      </c>
    </row>
    <row r="23" spans="1:8" s="20" customFormat="1" ht="30">
      <c r="A23" s="123" t="s">
        <v>66</v>
      </c>
      <c r="B23" s="86" t="s">
        <v>69</v>
      </c>
      <c r="C23" s="48">
        <f>SUM(D23+E23+F23+G23+H23)</f>
        <v>618600</v>
      </c>
      <c r="D23" s="49">
        <v>-153934</v>
      </c>
      <c r="E23" s="49"/>
      <c r="F23" s="49"/>
      <c r="G23" s="49">
        <v>646431</v>
      </c>
      <c r="H23" s="49">
        <v>126103</v>
      </c>
    </row>
    <row r="24" spans="1:8" s="8" customFormat="1" ht="30">
      <c r="A24" s="123" t="s">
        <v>67</v>
      </c>
      <c r="B24" s="86" t="s">
        <v>70</v>
      </c>
      <c r="C24" s="48">
        <f>SUM(D24+E24+F24+G24+H24)</f>
        <v>374134</v>
      </c>
      <c r="D24" s="49">
        <v>374134</v>
      </c>
      <c r="E24" s="49"/>
      <c r="F24" s="49"/>
      <c r="G24" s="49"/>
      <c r="H24" s="49"/>
    </row>
    <row r="25" spans="1:8" s="8" customFormat="1" ht="21" customHeight="1">
      <c r="A25" s="123" t="s">
        <v>68</v>
      </c>
      <c r="B25" s="86" t="s">
        <v>144</v>
      </c>
      <c r="C25" s="48">
        <f t="shared" si="0"/>
        <v>90</v>
      </c>
      <c r="D25" s="49">
        <v>90</v>
      </c>
      <c r="E25" s="49"/>
      <c r="F25" s="49"/>
      <c r="G25" s="49"/>
      <c r="H25" s="49"/>
    </row>
    <row r="26" spans="1:8" ht="15.75">
      <c r="A26" s="124" t="s">
        <v>43</v>
      </c>
      <c r="B26" s="183" t="s">
        <v>461</v>
      </c>
      <c r="C26" s="48">
        <f t="shared" si="0"/>
        <v>372681</v>
      </c>
      <c r="D26" s="415">
        <f>519030+38514-10000+33000-14956-67010-10000-20000-20000-50000+126103-50000-15000-10000-5000+9000-21000-60000</f>
        <v>372681</v>
      </c>
      <c r="E26" s="48"/>
      <c r="F26" s="48"/>
      <c r="G26" s="48"/>
      <c r="H26" s="48"/>
    </row>
    <row r="27" spans="1:8" s="32" customFormat="1" ht="15.75">
      <c r="A27" s="119" t="s">
        <v>32</v>
      </c>
      <c r="B27" s="62" t="s">
        <v>12</v>
      </c>
      <c r="C27" s="63">
        <f t="shared" si="0"/>
        <v>2946122</v>
      </c>
      <c r="D27" s="63">
        <f>SUM(D28+D29)</f>
        <v>2708532</v>
      </c>
      <c r="E27" s="63">
        <f>SUM(E28+E29)</f>
        <v>185300</v>
      </c>
      <c r="F27" s="63">
        <f>SUM(F28+F29)</f>
        <v>0</v>
      </c>
      <c r="G27" s="63">
        <f>SUM(G28+G29)</f>
        <v>0</v>
      </c>
      <c r="H27" s="63">
        <f>SUM(H28+H29)</f>
        <v>52290</v>
      </c>
    </row>
    <row r="28" spans="1:8" ht="30">
      <c r="A28" s="124" t="s">
        <v>44</v>
      </c>
      <c r="B28" s="183" t="s">
        <v>360</v>
      </c>
      <c r="C28" s="48">
        <f t="shared" si="0"/>
        <v>2642406</v>
      </c>
      <c r="D28" s="48">
        <v>2409590</v>
      </c>
      <c r="E28" s="48">
        <v>185300</v>
      </c>
      <c r="F28" s="48"/>
      <c r="G28" s="48"/>
      <c r="H28" s="48">
        <v>47516</v>
      </c>
    </row>
    <row r="29" spans="1:8" ht="28.5">
      <c r="A29" s="124" t="s">
        <v>45</v>
      </c>
      <c r="B29" s="37" t="s">
        <v>71</v>
      </c>
      <c r="C29" s="50">
        <f t="shared" si="0"/>
        <v>303716</v>
      </c>
      <c r="D29" s="50">
        <f>D30+D31</f>
        <v>298942</v>
      </c>
      <c r="E29" s="50">
        <f>E30+E31</f>
        <v>0</v>
      </c>
      <c r="F29" s="45">
        <f>F30+F31</f>
        <v>0</v>
      </c>
      <c r="G29" s="45">
        <f>G30+G31</f>
        <v>0</v>
      </c>
      <c r="H29" s="45">
        <f>H30+H31</f>
        <v>4774</v>
      </c>
    </row>
    <row r="30" spans="1:8" s="8" customFormat="1" ht="30">
      <c r="A30" s="123" t="s">
        <v>89</v>
      </c>
      <c r="B30" s="191" t="s">
        <v>455</v>
      </c>
      <c r="C30" s="49">
        <f t="shared" si="0"/>
        <v>298942</v>
      </c>
      <c r="D30" s="49">
        <v>298942</v>
      </c>
      <c r="E30" s="49"/>
      <c r="F30" s="47"/>
      <c r="G30" s="47"/>
      <c r="H30" s="47"/>
    </row>
    <row r="31" spans="1:8" s="8" customFormat="1" ht="30">
      <c r="A31" s="123" t="s">
        <v>391</v>
      </c>
      <c r="B31" s="191" t="s">
        <v>392</v>
      </c>
      <c r="C31" s="49">
        <f t="shared" si="0"/>
        <v>4774</v>
      </c>
      <c r="D31" s="49"/>
      <c r="E31" s="49"/>
      <c r="F31" s="47"/>
      <c r="G31" s="47"/>
      <c r="H31" s="47">
        <v>4774</v>
      </c>
    </row>
    <row r="32" spans="1:8" s="32" customFormat="1" ht="15.75">
      <c r="A32" s="119" t="s">
        <v>33</v>
      </c>
      <c r="B32" s="62" t="s">
        <v>13</v>
      </c>
      <c r="C32" s="63">
        <f aca="true" t="shared" si="1" ref="C32:C40">SUM(D32:H32)</f>
        <v>2057486</v>
      </c>
      <c r="D32" s="63">
        <f>SUM(D33+D40+D43)</f>
        <v>1934751</v>
      </c>
      <c r="E32" s="63">
        <f>SUM(E33+E40+E43)</f>
        <v>79950</v>
      </c>
      <c r="F32" s="63">
        <f>SUM(F33+F40+F43)</f>
        <v>0</v>
      </c>
      <c r="G32" s="63">
        <f>SUM(G33+G40+G43)</f>
        <v>34060</v>
      </c>
      <c r="H32" s="63">
        <f>SUM(H33+H40+H43)</f>
        <v>8725</v>
      </c>
    </row>
    <row r="33" spans="1:8" ht="15.75">
      <c r="A33" s="125" t="s">
        <v>46</v>
      </c>
      <c r="B33" s="35" t="s">
        <v>47</v>
      </c>
      <c r="C33" s="50">
        <f t="shared" si="1"/>
        <v>1585470</v>
      </c>
      <c r="D33" s="45">
        <f>SUM(D34:D39)</f>
        <v>1585470</v>
      </c>
      <c r="E33" s="45">
        <f>SUM(E34:E39)</f>
        <v>0</v>
      </c>
      <c r="F33" s="45">
        <f>SUM(F34:F39)</f>
        <v>0</v>
      </c>
      <c r="G33" s="45">
        <f>SUM(G34:G39)</f>
        <v>0</v>
      </c>
      <c r="H33" s="45">
        <f>SUM(H34:H39)</f>
        <v>0</v>
      </c>
    </row>
    <row r="34" spans="1:8" s="8" customFormat="1" ht="30">
      <c r="A34" s="123" t="s">
        <v>72</v>
      </c>
      <c r="B34" s="86" t="s">
        <v>145</v>
      </c>
      <c r="C34" s="49">
        <f t="shared" si="1"/>
        <v>278500</v>
      </c>
      <c r="D34" s="49">
        <f>293500-10000-5000</f>
        <v>278500</v>
      </c>
      <c r="E34" s="49"/>
      <c r="F34" s="47"/>
      <c r="G34" s="47"/>
      <c r="H34" s="47"/>
    </row>
    <row r="35" spans="1:8" s="8" customFormat="1" ht="30">
      <c r="A35" s="123" t="s">
        <v>100</v>
      </c>
      <c r="B35" s="87" t="s">
        <v>415</v>
      </c>
      <c r="C35" s="49">
        <f t="shared" si="1"/>
        <v>1306970</v>
      </c>
      <c r="D35" s="49">
        <v>1306970</v>
      </c>
      <c r="E35" s="49"/>
      <c r="F35" s="47"/>
      <c r="G35" s="47"/>
      <c r="H35" s="49"/>
    </row>
    <row r="36" spans="1:8" s="8" customFormat="1" ht="30" hidden="1">
      <c r="A36" s="123" t="s">
        <v>209</v>
      </c>
      <c r="B36" s="87" t="s">
        <v>289</v>
      </c>
      <c r="C36" s="49">
        <f t="shared" si="1"/>
        <v>0</v>
      </c>
      <c r="D36" s="49"/>
      <c r="E36" s="49"/>
      <c r="F36" s="49"/>
      <c r="G36" s="49"/>
      <c r="H36" s="49"/>
    </row>
    <row r="37" spans="1:8" s="8" customFormat="1" ht="45" hidden="1">
      <c r="A37" s="123" t="s">
        <v>350</v>
      </c>
      <c r="B37" s="87" t="s">
        <v>361</v>
      </c>
      <c r="C37" s="49">
        <f t="shared" si="1"/>
        <v>0</v>
      </c>
      <c r="D37" s="49"/>
      <c r="E37" s="49"/>
      <c r="F37" s="49"/>
      <c r="G37" s="49"/>
      <c r="H37" s="49"/>
    </row>
    <row r="38" spans="1:8" s="8" customFormat="1" ht="15.75" hidden="1">
      <c r="A38" s="123"/>
      <c r="B38" s="87"/>
      <c r="C38" s="49">
        <f t="shared" si="1"/>
        <v>0</v>
      </c>
      <c r="D38" s="49"/>
      <c r="E38" s="49"/>
      <c r="F38" s="49"/>
      <c r="G38" s="49"/>
      <c r="H38" s="49"/>
    </row>
    <row r="39" spans="1:8" s="8" customFormat="1" ht="15.75" hidden="1">
      <c r="A39" s="123"/>
      <c r="B39" s="87"/>
      <c r="C39" s="49">
        <f t="shared" si="1"/>
        <v>0</v>
      </c>
      <c r="D39" s="49"/>
      <c r="E39" s="49"/>
      <c r="F39" s="49"/>
      <c r="G39" s="49"/>
      <c r="H39" s="49"/>
    </row>
    <row r="40" spans="1:8" ht="15.75">
      <c r="A40" s="186" t="s">
        <v>101</v>
      </c>
      <c r="B40" s="187" t="s">
        <v>155</v>
      </c>
      <c r="C40" s="50">
        <f t="shared" si="1"/>
        <v>350808</v>
      </c>
      <c r="D40" s="50">
        <f>SUM(D41:D42)</f>
        <v>277133</v>
      </c>
      <c r="E40" s="50">
        <f>SUM(E41:E42)</f>
        <v>64950</v>
      </c>
      <c r="F40" s="45">
        <f>SUM(F41:F42)</f>
        <v>0</v>
      </c>
      <c r="G40" s="45">
        <f>SUM(G41:G42)</f>
        <v>0</v>
      </c>
      <c r="H40" s="45">
        <f>SUM(H41:H42)</f>
        <v>8725</v>
      </c>
    </row>
    <row r="41" spans="1:8" s="8" customFormat="1" ht="30">
      <c r="A41" s="188" t="s">
        <v>164</v>
      </c>
      <c r="B41" s="189" t="s">
        <v>462</v>
      </c>
      <c r="C41" s="49">
        <f t="shared" si="0"/>
        <v>350808</v>
      </c>
      <c r="D41" s="49">
        <v>277133</v>
      </c>
      <c r="E41" s="49">
        <v>64950</v>
      </c>
      <c r="F41" s="49"/>
      <c r="G41" s="49"/>
      <c r="H41" s="49">
        <v>8725</v>
      </c>
    </row>
    <row r="42" spans="1:8" s="8" customFormat="1" ht="30" hidden="1">
      <c r="A42" s="188" t="s">
        <v>309</v>
      </c>
      <c r="B42" s="189" t="s">
        <v>315</v>
      </c>
      <c r="C42" s="49">
        <f t="shared" si="0"/>
        <v>0</v>
      </c>
      <c r="D42" s="49"/>
      <c r="E42" s="49"/>
      <c r="F42" s="49"/>
      <c r="G42" s="49"/>
      <c r="H42" s="49"/>
    </row>
    <row r="43" spans="1:8" s="8" customFormat="1" ht="15.75">
      <c r="A43" s="186" t="s">
        <v>156</v>
      </c>
      <c r="B43" s="190" t="s">
        <v>157</v>
      </c>
      <c r="C43" s="50">
        <f>SUM(D43:H43)</f>
        <v>121208</v>
      </c>
      <c r="D43" s="50">
        <f>SUM(D44:D52)</f>
        <v>72148</v>
      </c>
      <c r="E43" s="50">
        <f>SUM(E44:E52)</f>
        <v>15000</v>
      </c>
      <c r="F43" s="45">
        <f>SUM(F44:F52)</f>
        <v>0</v>
      </c>
      <c r="G43" s="45">
        <f>SUM(G44:G52)</f>
        <v>34060</v>
      </c>
      <c r="H43" s="45">
        <f>SUM(H44:H52)</f>
        <v>0</v>
      </c>
    </row>
    <row r="44" spans="1:8" s="8" customFormat="1" ht="30">
      <c r="A44" s="123" t="s">
        <v>185</v>
      </c>
      <c r="B44" s="86" t="s">
        <v>187</v>
      </c>
      <c r="C44" s="49">
        <f>SUM(D44+E44+F44+G44+H44)</f>
        <v>60078</v>
      </c>
      <c r="D44" s="49">
        <f>44578+3000+12500</f>
        <v>60078</v>
      </c>
      <c r="E44" s="49"/>
      <c r="F44" s="47"/>
      <c r="G44" s="47"/>
      <c r="H44" s="47"/>
    </row>
    <row r="45" spans="1:8" s="8" customFormat="1" ht="30">
      <c r="A45" s="134" t="s">
        <v>186</v>
      </c>
      <c r="B45" s="86" t="s">
        <v>908</v>
      </c>
      <c r="C45" s="49">
        <f aca="true" t="shared" si="2" ref="C45:C52">SUM(D45+E45+F45+G45+H45)</f>
        <v>59020</v>
      </c>
      <c r="D45" s="49">
        <v>9960</v>
      </c>
      <c r="E45" s="49">
        <v>15000</v>
      </c>
      <c r="F45" s="47"/>
      <c r="G45" s="47">
        <v>34060</v>
      </c>
      <c r="H45" s="47"/>
    </row>
    <row r="46" spans="1:8" s="8" customFormat="1" ht="30" hidden="1">
      <c r="A46" s="134" t="s">
        <v>210</v>
      </c>
      <c r="B46" s="86" t="s">
        <v>316</v>
      </c>
      <c r="C46" s="49">
        <f t="shared" si="2"/>
        <v>0</v>
      </c>
      <c r="D46" s="49"/>
      <c r="E46" s="49"/>
      <c r="F46" s="49"/>
      <c r="G46" s="49"/>
      <c r="H46" s="49"/>
    </row>
    <row r="47" spans="1:8" s="8" customFormat="1" ht="45" hidden="1">
      <c r="A47" s="134" t="s">
        <v>279</v>
      </c>
      <c r="B47" s="86" t="s">
        <v>290</v>
      </c>
      <c r="C47" s="49">
        <f t="shared" si="2"/>
        <v>0</v>
      </c>
      <c r="D47" s="49"/>
      <c r="E47" s="49"/>
      <c r="F47" s="47"/>
      <c r="G47" s="47"/>
      <c r="H47" s="47"/>
    </row>
    <row r="48" spans="1:8" s="8" customFormat="1" ht="15.75">
      <c r="A48" s="134" t="s">
        <v>276</v>
      </c>
      <c r="B48" s="86" t="s">
        <v>277</v>
      </c>
      <c r="C48" s="49">
        <f t="shared" si="2"/>
        <v>2110</v>
      </c>
      <c r="D48" s="49">
        <v>2110</v>
      </c>
      <c r="E48" s="49"/>
      <c r="F48" s="47"/>
      <c r="G48" s="47"/>
      <c r="H48" s="47"/>
    </row>
    <row r="49" spans="1:8" s="8" customFormat="1" ht="15.75" hidden="1">
      <c r="A49" s="127"/>
      <c r="B49" s="85"/>
      <c r="C49" s="47">
        <f t="shared" si="2"/>
        <v>0</v>
      </c>
      <c r="D49" s="47"/>
      <c r="E49" s="47"/>
      <c r="F49" s="47"/>
      <c r="G49" s="47"/>
      <c r="H49" s="47"/>
    </row>
    <row r="50" spans="1:8" s="8" customFormat="1" ht="60" hidden="1">
      <c r="A50" s="127" t="s">
        <v>288</v>
      </c>
      <c r="B50" s="85" t="s">
        <v>298</v>
      </c>
      <c r="C50" s="47">
        <f t="shared" si="2"/>
        <v>0</v>
      </c>
      <c r="D50" s="47"/>
      <c r="E50" s="47"/>
      <c r="F50" s="47"/>
      <c r="G50" s="47"/>
      <c r="H50" s="47"/>
    </row>
    <row r="51" spans="1:8" s="8" customFormat="1" ht="30" hidden="1">
      <c r="A51" s="127" t="s">
        <v>304</v>
      </c>
      <c r="B51" s="85" t="s">
        <v>317</v>
      </c>
      <c r="C51" s="47">
        <f t="shared" si="2"/>
        <v>0</v>
      </c>
      <c r="D51" s="47"/>
      <c r="E51" s="47"/>
      <c r="F51" s="47"/>
      <c r="G51" s="47"/>
      <c r="H51" s="47"/>
    </row>
    <row r="52" spans="1:8" s="8" customFormat="1" ht="45" hidden="1">
      <c r="A52" s="134" t="s">
        <v>351</v>
      </c>
      <c r="B52" s="86" t="s">
        <v>362</v>
      </c>
      <c r="C52" s="49">
        <f t="shared" si="2"/>
        <v>0</v>
      </c>
      <c r="D52" s="49"/>
      <c r="E52" s="49"/>
      <c r="F52" s="49"/>
      <c r="G52" s="49"/>
      <c r="H52" s="49"/>
    </row>
    <row r="53" spans="1:8" s="32" customFormat="1" ht="15.75">
      <c r="A53" s="119" t="s">
        <v>34</v>
      </c>
      <c r="B53" s="62" t="s">
        <v>14</v>
      </c>
      <c r="C53" s="63">
        <f t="shared" si="0"/>
        <v>1508636</v>
      </c>
      <c r="D53" s="63">
        <f>SUM(D54+D57+D58)</f>
        <v>1507783</v>
      </c>
      <c r="E53" s="63">
        <f>SUM(E54+E57+E58)</f>
        <v>0</v>
      </c>
      <c r="F53" s="63">
        <f>SUM(F54+F57+F58)</f>
        <v>853</v>
      </c>
      <c r="G53" s="63">
        <f>SUM(G54+G57+G58)</f>
        <v>0</v>
      </c>
      <c r="H53" s="63">
        <f>SUM(H54+H57+H58)</f>
        <v>0</v>
      </c>
    </row>
    <row r="54" spans="1:8" ht="15.75">
      <c r="A54" s="124" t="s">
        <v>49</v>
      </c>
      <c r="B54" s="37" t="s">
        <v>50</v>
      </c>
      <c r="C54" s="50">
        <f t="shared" si="0"/>
        <v>993271</v>
      </c>
      <c r="D54" s="50">
        <f>SUM(D55+D56)</f>
        <v>993271</v>
      </c>
      <c r="E54" s="45">
        <f>SUM(E55+E56)</f>
        <v>0</v>
      </c>
      <c r="F54" s="45">
        <f>SUM(F55+F56)</f>
        <v>0</v>
      </c>
      <c r="G54" s="45">
        <f>SUM(G55+G56)</f>
        <v>0</v>
      </c>
      <c r="H54" s="45">
        <f>SUM(H55+H56)</f>
        <v>0</v>
      </c>
    </row>
    <row r="55" spans="1:8" s="8" customFormat="1" ht="30">
      <c r="A55" s="123" t="s">
        <v>73</v>
      </c>
      <c r="B55" s="86" t="s">
        <v>318</v>
      </c>
      <c r="C55" s="49">
        <f t="shared" si="0"/>
        <v>693200</v>
      </c>
      <c r="D55" s="49">
        <v>693200</v>
      </c>
      <c r="E55" s="47"/>
      <c r="F55" s="47"/>
      <c r="G55" s="47"/>
      <c r="H55" s="47"/>
    </row>
    <row r="56" spans="1:8" s="8" customFormat="1" ht="30">
      <c r="A56" s="123" t="s">
        <v>159</v>
      </c>
      <c r="B56" s="86" t="s">
        <v>158</v>
      </c>
      <c r="C56" s="49">
        <f t="shared" si="0"/>
        <v>300071</v>
      </c>
      <c r="D56" s="49">
        <v>300071</v>
      </c>
      <c r="E56" s="47"/>
      <c r="F56" s="47"/>
      <c r="G56" s="47"/>
      <c r="H56" s="49"/>
    </row>
    <row r="57" spans="1:8" ht="15.75">
      <c r="A57" s="124" t="s">
        <v>442</v>
      </c>
      <c r="B57" s="37" t="s">
        <v>96</v>
      </c>
      <c r="C57" s="48">
        <f t="shared" si="0"/>
        <v>487800</v>
      </c>
      <c r="D57" s="48">
        <f>462800+20000+5000</f>
        <v>487800</v>
      </c>
      <c r="E57" s="46"/>
      <c r="F57" s="46"/>
      <c r="G57" s="46"/>
      <c r="H57" s="46"/>
    </row>
    <row r="58" spans="1:8" ht="15.75">
      <c r="A58" s="124" t="s">
        <v>320</v>
      </c>
      <c r="B58" s="37" t="s">
        <v>321</v>
      </c>
      <c r="C58" s="50">
        <f t="shared" si="0"/>
        <v>27565</v>
      </c>
      <c r="D58" s="50">
        <f>D59+D60+D61</f>
        <v>26712</v>
      </c>
      <c r="E58" s="45">
        <f>E59+E60+E61</f>
        <v>0</v>
      </c>
      <c r="F58" s="45">
        <f>F59+F60+F61</f>
        <v>853</v>
      </c>
      <c r="G58" s="45">
        <f>G59+G60+G61</f>
        <v>0</v>
      </c>
      <c r="H58" s="45">
        <f>H59+H60+H61</f>
        <v>0</v>
      </c>
    </row>
    <row r="59" spans="1:8" ht="60" hidden="1">
      <c r="A59" s="123" t="s">
        <v>310</v>
      </c>
      <c r="B59" s="86" t="s">
        <v>319</v>
      </c>
      <c r="C59" s="49">
        <f t="shared" si="0"/>
        <v>0</v>
      </c>
      <c r="D59" s="49"/>
      <c r="E59" s="49"/>
      <c r="F59" s="49"/>
      <c r="G59" s="49"/>
      <c r="H59" s="49"/>
    </row>
    <row r="60" spans="1:8" ht="45" hidden="1">
      <c r="A60" s="123" t="s">
        <v>363</v>
      </c>
      <c r="B60" s="86" t="s">
        <v>364</v>
      </c>
      <c r="C60" s="49">
        <f t="shared" si="0"/>
        <v>0</v>
      </c>
      <c r="D60" s="49"/>
      <c r="E60" s="49"/>
      <c r="F60" s="49"/>
      <c r="G60" s="49"/>
      <c r="H60" s="49"/>
    </row>
    <row r="61" spans="1:8" ht="15.75">
      <c r="A61" s="123" t="s">
        <v>439</v>
      </c>
      <c r="B61" s="86" t="s">
        <v>893</v>
      </c>
      <c r="C61" s="49">
        <f t="shared" si="0"/>
        <v>27565</v>
      </c>
      <c r="D61" s="49">
        <v>26712</v>
      </c>
      <c r="E61" s="49"/>
      <c r="F61" s="49">
        <v>853</v>
      </c>
      <c r="G61" s="49"/>
      <c r="H61" s="49"/>
    </row>
    <row r="62" spans="1:8" s="32" customFormat="1" ht="15.75">
      <c r="A62" s="119" t="s">
        <v>35</v>
      </c>
      <c r="B62" s="62" t="s">
        <v>181</v>
      </c>
      <c r="C62" s="63">
        <f t="shared" si="0"/>
        <v>3713534</v>
      </c>
      <c r="D62" s="63">
        <f>SUM(D63+D64+D65)</f>
        <v>3583548</v>
      </c>
      <c r="E62" s="63">
        <f>SUM(E63+E64+E65)</f>
        <v>116700</v>
      </c>
      <c r="F62" s="63">
        <f>SUM(F63+F64+F65)</f>
        <v>13000</v>
      </c>
      <c r="G62" s="63">
        <f>SUM(G63+G64+G65)</f>
        <v>0</v>
      </c>
      <c r="H62" s="63">
        <f>SUM(H63+H64+H65)</f>
        <v>286</v>
      </c>
    </row>
    <row r="63" spans="1:8" s="32" customFormat="1" ht="21" customHeight="1">
      <c r="A63" s="124" t="s">
        <v>322</v>
      </c>
      <c r="B63" s="183" t="s">
        <v>365</v>
      </c>
      <c r="C63" s="50">
        <f t="shared" si="0"/>
        <v>645047</v>
      </c>
      <c r="D63" s="415">
        <f>588047-3000+60000</f>
        <v>645047</v>
      </c>
      <c r="E63" s="48"/>
      <c r="F63" s="46"/>
      <c r="G63" s="46"/>
      <c r="H63" s="46"/>
    </row>
    <row r="64" spans="1:8" ht="15.75">
      <c r="A64" s="124" t="s">
        <v>443</v>
      </c>
      <c r="B64" s="183" t="s">
        <v>51</v>
      </c>
      <c r="C64" s="50">
        <f t="shared" si="0"/>
        <v>579000</v>
      </c>
      <c r="D64" s="48">
        <v>579000</v>
      </c>
      <c r="E64" s="48"/>
      <c r="F64" s="46"/>
      <c r="G64" s="46"/>
      <c r="H64" s="46"/>
    </row>
    <row r="65" spans="1:8" ht="28.5">
      <c r="A65" s="124" t="s">
        <v>52</v>
      </c>
      <c r="B65" s="37" t="s">
        <v>291</v>
      </c>
      <c r="C65" s="50">
        <f t="shared" si="0"/>
        <v>2489487</v>
      </c>
      <c r="D65" s="50">
        <f>SUM(D66+D67+D68+D69+D70)</f>
        <v>2359501</v>
      </c>
      <c r="E65" s="50">
        <f>SUM(E66+E67+E68+E69+E70)</f>
        <v>116700</v>
      </c>
      <c r="F65" s="45">
        <f>SUM(F66+F67+F68+F69+F70)</f>
        <v>13000</v>
      </c>
      <c r="G65" s="45">
        <f>SUM(G66+G67+G68+G69+G70)</f>
        <v>0</v>
      </c>
      <c r="H65" s="45">
        <f>SUM(H66+H67+H68+H69+H70)</f>
        <v>286</v>
      </c>
    </row>
    <row r="66" spans="1:8" s="8" customFormat="1" ht="15.75">
      <c r="A66" s="123" t="s">
        <v>74</v>
      </c>
      <c r="B66" s="86" t="s">
        <v>366</v>
      </c>
      <c r="C66" s="49">
        <f t="shared" si="0"/>
        <v>839647</v>
      </c>
      <c r="D66" s="49">
        <v>722661</v>
      </c>
      <c r="E66" s="49">
        <v>116700</v>
      </c>
      <c r="F66" s="47"/>
      <c r="G66" s="49"/>
      <c r="H66" s="47">
        <v>286</v>
      </c>
    </row>
    <row r="67" spans="1:8" s="8" customFormat="1" ht="30.75" customHeight="1">
      <c r="A67" s="123" t="s">
        <v>75</v>
      </c>
      <c r="B67" s="86" t="s">
        <v>97</v>
      </c>
      <c r="C67" s="49">
        <f t="shared" si="0"/>
        <v>1073400</v>
      </c>
      <c r="D67" s="49">
        <v>1060400</v>
      </c>
      <c r="E67" s="49"/>
      <c r="F67" s="49">
        <v>13000</v>
      </c>
      <c r="G67" s="47"/>
      <c r="H67" s="47"/>
    </row>
    <row r="68" spans="1:8" s="8" customFormat="1" ht="30">
      <c r="A68" s="123" t="s">
        <v>79</v>
      </c>
      <c r="B68" s="86" t="s">
        <v>146</v>
      </c>
      <c r="C68" s="49">
        <f t="shared" si="0"/>
        <v>311740</v>
      </c>
      <c r="D68" s="49">
        <f>344740-33000</f>
        <v>311740</v>
      </c>
      <c r="E68" s="49"/>
      <c r="F68" s="47"/>
      <c r="G68" s="47"/>
      <c r="H68" s="49"/>
    </row>
    <row r="69" spans="1:8" s="8" customFormat="1" ht="30">
      <c r="A69" s="123" t="s">
        <v>85</v>
      </c>
      <c r="B69" s="86" t="s">
        <v>147</v>
      </c>
      <c r="C69" s="49">
        <f t="shared" si="0"/>
        <v>220000</v>
      </c>
      <c r="D69" s="49">
        <v>220000</v>
      </c>
      <c r="E69" s="49"/>
      <c r="F69" s="47"/>
      <c r="G69" s="47"/>
      <c r="H69" s="47"/>
    </row>
    <row r="70" spans="1:8" s="8" customFormat="1" ht="30">
      <c r="A70" s="123" t="s">
        <v>303</v>
      </c>
      <c r="B70" s="86" t="s">
        <v>323</v>
      </c>
      <c r="C70" s="49">
        <f t="shared" si="0"/>
        <v>44700</v>
      </c>
      <c r="D70" s="49">
        <f>34700+10000</f>
        <v>44700</v>
      </c>
      <c r="E70" s="49"/>
      <c r="F70" s="47"/>
      <c r="G70" s="47"/>
      <c r="H70" s="47"/>
    </row>
    <row r="71" spans="1:8" s="8" customFormat="1" ht="15.75">
      <c r="A71" s="119" t="s">
        <v>165</v>
      </c>
      <c r="B71" s="62" t="s">
        <v>166</v>
      </c>
      <c r="C71" s="63">
        <f aca="true" t="shared" si="3" ref="C71:H71">C72+C73+C74+C75+C76</f>
        <v>122175</v>
      </c>
      <c r="D71" s="63">
        <f t="shared" si="3"/>
        <v>122175</v>
      </c>
      <c r="E71" s="63">
        <f t="shared" si="3"/>
        <v>0</v>
      </c>
      <c r="F71" s="63">
        <f t="shared" si="3"/>
        <v>0</v>
      </c>
      <c r="G71" s="63">
        <f t="shared" si="3"/>
        <v>0</v>
      </c>
      <c r="H71" s="63">
        <f t="shared" si="3"/>
        <v>0</v>
      </c>
    </row>
    <row r="72" spans="1:8" s="8" customFormat="1" ht="15.75">
      <c r="A72" s="122" t="s">
        <v>188</v>
      </c>
      <c r="B72" s="85" t="s">
        <v>189</v>
      </c>
      <c r="C72" s="49">
        <f t="shared" si="0"/>
        <v>71840</v>
      </c>
      <c r="D72" s="47">
        <v>71840</v>
      </c>
      <c r="E72" s="47"/>
      <c r="F72" s="47"/>
      <c r="G72" s="47"/>
      <c r="H72" s="47"/>
    </row>
    <row r="73" spans="1:8" s="8" customFormat="1" ht="30">
      <c r="A73" s="122" t="s">
        <v>190</v>
      </c>
      <c r="B73" s="85" t="s">
        <v>191</v>
      </c>
      <c r="C73" s="49">
        <f t="shared" si="0"/>
        <v>10840</v>
      </c>
      <c r="D73" s="47">
        <v>10840</v>
      </c>
      <c r="E73" s="47"/>
      <c r="F73" s="47"/>
      <c r="G73" s="47"/>
      <c r="H73" s="47"/>
    </row>
    <row r="74" spans="1:8" s="8" customFormat="1" ht="15.75">
      <c r="A74" s="122" t="s">
        <v>192</v>
      </c>
      <c r="B74" s="85" t="s">
        <v>193</v>
      </c>
      <c r="C74" s="49">
        <f t="shared" si="0"/>
        <v>32000</v>
      </c>
      <c r="D74" s="47">
        <v>32000</v>
      </c>
      <c r="E74" s="47"/>
      <c r="F74" s="47"/>
      <c r="G74" s="47"/>
      <c r="H74" s="47"/>
    </row>
    <row r="75" spans="1:8" s="8" customFormat="1" ht="15.75">
      <c r="A75" s="122" t="s">
        <v>171</v>
      </c>
      <c r="B75" s="85" t="s">
        <v>324</v>
      </c>
      <c r="C75" s="49">
        <f t="shared" si="0"/>
        <v>7495</v>
      </c>
      <c r="D75" s="47">
        <v>7495</v>
      </c>
      <c r="E75" s="47"/>
      <c r="F75" s="47"/>
      <c r="G75" s="47"/>
      <c r="H75" s="47"/>
    </row>
    <row r="76" spans="1:8" s="8" customFormat="1" ht="30" hidden="1">
      <c r="A76" s="122" t="s">
        <v>311</v>
      </c>
      <c r="B76" s="85" t="s">
        <v>325</v>
      </c>
      <c r="C76" s="47">
        <f t="shared" si="0"/>
        <v>0</v>
      </c>
      <c r="D76" s="47"/>
      <c r="E76" s="47"/>
      <c r="F76" s="47"/>
      <c r="G76" s="47"/>
      <c r="H76" s="47"/>
    </row>
    <row r="77" spans="1:8" s="32" customFormat="1" ht="15.75">
      <c r="A77" s="119" t="s">
        <v>36</v>
      </c>
      <c r="B77" s="62" t="s">
        <v>15</v>
      </c>
      <c r="C77" s="63">
        <f t="shared" si="0"/>
        <v>5592749</v>
      </c>
      <c r="D77" s="63">
        <f>SUM(D78+D82+D99+D100)</f>
        <v>5101573</v>
      </c>
      <c r="E77" s="63">
        <f>SUM(E78+E82+E99+E100)</f>
        <v>351178</v>
      </c>
      <c r="F77" s="63">
        <f>SUM(F78+F82+F99+F100)</f>
        <v>19096</v>
      </c>
      <c r="G77" s="63">
        <f>SUM(G78+G82+G99+G100)</f>
        <v>18488</v>
      </c>
      <c r="H77" s="63">
        <f>SUM(H78+H82+H99+H100)</f>
        <v>102414</v>
      </c>
    </row>
    <row r="78" spans="1:8" ht="15.75">
      <c r="A78" s="120" t="s">
        <v>55</v>
      </c>
      <c r="B78" s="35" t="s">
        <v>56</v>
      </c>
      <c r="C78" s="45">
        <f t="shared" si="0"/>
        <v>969787</v>
      </c>
      <c r="D78" s="45">
        <f>SUM(D79+D80+D81)</f>
        <v>935294</v>
      </c>
      <c r="E78" s="45">
        <f>SUM(E79+E80+E81)</f>
        <v>34148</v>
      </c>
      <c r="F78" s="45">
        <f>SUM(F79+F80+F81)</f>
        <v>0</v>
      </c>
      <c r="G78" s="45">
        <f>SUM(G79+G80+G81)</f>
        <v>0</v>
      </c>
      <c r="H78" s="45">
        <f>SUM(H79+H80+H81)</f>
        <v>345</v>
      </c>
    </row>
    <row r="79" spans="1:8" s="8" customFormat="1" ht="30">
      <c r="A79" s="123" t="s">
        <v>77</v>
      </c>
      <c r="B79" s="86" t="s">
        <v>367</v>
      </c>
      <c r="C79" s="49">
        <f t="shared" si="0"/>
        <v>459187</v>
      </c>
      <c r="D79" s="49">
        <f>404694+20000</f>
        <v>424694</v>
      </c>
      <c r="E79" s="49">
        <v>34148</v>
      </c>
      <c r="F79" s="49"/>
      <c r="G79" s="49"/>
      <c r="H79" s="47">
        <v>345</v>
      </c>
    </row>
    <row r="80" spans="1:8" s="8" customFormat="1" ht="15.75">
      <c r="A80" s="123" t="s">
        <v>78</v>
      </c>
      <c r="B80" s="86" t="s">
        <v>148</v>
      </c>
      <c r="C80" s="49">
        <f t="shared" si="0"/>
        <v>505620</v>
      </c>
      <c r="D80" s="49">
        <f>490400+19720-4500</f>
        <v>505620</v>
      </c>
      <c r="E80" s="49"/>
      <c r="F80" s="49"/>
      <c r="G80" s="49"/>
      <c r="H80" s="47"/>
    </row>
    <row r="81" spans="1:8" s="8" customFormat="1" ht="30">
      <c r="A81" s="122" t="s">
        <v>213</v>
      </c>
      <c r="B81" s="85" t="s">
        <v>301</v>
      </c>
      <c r="C81" s="49">
        <f t="shared" si="0"/>
        <v>4980</v>
      </c>
      <c r="D81" s="49">
        <v>4980</v>
      </c>
      <c r="E81" s="49"/>
      <c r="F81" s="49"/>
      <c r="G81" s="47"/>
      <c r="H81" s="47"/>
    </row>
    <row r="82" spans="1:8" ht="15.75">
      <c r="A82" s="120" t="s">
        <v>57</v>
      </c>
      <c r="B82" s="35" t="s">
        <v>58</v>
      </c>
      <c r="C82" s="50">
        <f t="shared" si="0"/>
        <v>4039609</v>
      </c>
      <c r="D82" s="50">
        <f>D83+D86+D88+D91+D95</f>
        <v>3595926</v>
      </c>
      <c r="E82" s="50">
        <f>E83+E86+E88+E91+E95</f>
        <v>304030</v>
      </c>
      <c r="F82" s="50">
        <f>F83+F86+F88+F91+F95</f>
        <v>19096</v>
      </c>
      <c r="G82" s="45">
        <f>G83+G86+G88+G91+G95</f>
        <v>18488</v>
      </c>
      <c r="H82" s="45">
        <f>H83+H86+H88+H91+H95</f>
        <v>102069</v>
      </c>
    </row>
    <row r="83" spans="1:8" ht="15.75">
      <c r="A83" s="120" t="s">
        <v>59</v>
      </c>
      <c r="B83" s="37" t="s">
        <v>456</v>
      </c>
      <c r="C83" s="50">
        <f>SUM(D83+E83+F83+G83+H83)</f>
        <v>883888</v>
      </c>
      <c r="D83" s="50">
        <f>D84+D85</f>
        <v>847420</v>
      </c>
      <c r="E83" s="50">
        <f>E84+E85</f>
        <v>16130</v>
      </c>
      <c r="F83" s="50">
        <f>F84+F85</f>
        <v>0</v>
      </c>
      <c r="G83" s="50">
        <f>G84+G85</f>
        <v>18488</v>
      </c>
      <c r="H83" s="50">
        <f>H84+H85</f>
        <v>1850</v>
      </c>
    </row>
    <row r="84" spans="1:8" ht="30">
      <c r="A84" s="122" t="s">
        <v>444</v>
      </c>
      <c r="B84" s="85" t="s">
        <v>368</v>
      </c>
      <c r="C84" s="49">
        <f t="shared" si="0"/>
        <v>873676</v>
      </c>
      <c r="D84" s="49">
        <v>847420</v>
      </c>
      <c r="E84" s="49">
        <v>5918</v>
      </c>
      <c r="F84" s="49"/>
      <c r="G84" s="49">
        <v>18488</v>
      </c>
      <c r="H84" s="49">
        <v>1850</v>
      </c>
    </row>
    <row r="85" spans="1:8" ht="30">
      <c r="A85" s="123" t="s">
        <v>445</v>
      </c>
      <c r="B85" s="86" t="s">
        <v>894</v>
      </c>
      <c r="C85" s="49">
        <f t="shared" si="0"/>
        <v>10212</v>
      </c>
      <c r="D85" s="49"/>
      <c r="E85" s="49">
        <v>10212</v>
      </c>
      <c r="F85" s="49"/>
      <c r="G85" s="49"/>
      <c r="H85" s="49"/>
    </row>
    <row r="86" spans="1:8" ht="15.75">
      <c r="A86" s="120" t="s">
        <v>60</v>
      </c>
      <c r="B86" s="35" t="s">
        <v>326</v>
      </c>
      <c r="C86" s="50">
        <f>SUM(D86+E86+F86+G86+H86)</f>
        <v>423251</v>
      </c>
      <c r="D86" s="50">
        <f>D87</f>
        <v>403498</v>
      </c>
      <c r="E86" s="50">
        <f>E87</f>
        <v>7400</v>
      </c>
      <c r="F86" s="50">
        <f>F87</f>
        <v>0</v>
      </c>
      <c r="G86" s="45">
        <f>G87</f>
        <v>0</v>
      </c>
      <c r="H86" s="45">
        <f>H87</f>
        <v>12353</v>
      </c>
    </row>
    <row r="87" spans="1:8" s="8" customFormat="1" ht="30">
      <c r="A87" s="120" t="s">
        <v>99</v>
      </c>
      <c r="B87" s="88" t="s">
        <v>369</v>
      </c>
      <c r="C87" s="49">
        <f>SUM(D87+E87+F87+G87+H87)</f>
        <v>423251</v>
      </c>
      <c r="D87" s="49">
        <v>403498</v>
      </c>
      <c r="E87" s="49">
        <v>7400</v>
      </c>
      <c r="F87" s="49"/>
      <c r="G87" s="47"/>
      <c r="H87" s="47">
        <v>12353</v>
      </c>
    </row>
    <row r="88" spans="1:8" ht="15.75">
      <c r="A88" s="120" t="s">
        <v>61</v>
      </c>
      <c r="B88" s="35" t="s">
        <v>287</v>
      </c>
      <c r="C88" s="50">
        <f t="shared" si="0"/>
        <v>1801001</v>
      </c>
      <c r="D88" s="50">
        <f>SUM(D89:D90)</f>
        <v>1433662</v>
      </c>
      <c r="E88" s="50">
        <f>SUM(E89:E90)</f>
        <v>280500</v>
      </c>
      <c r="F88" s="50">
        <f>SUM(F89:F90)</f>
        <v>0</v>
      </c>
      <c r="G88" s="45">
        <f>SUM(G89:G90)</f>
        <v>0</v>
      </c>
      <c r="H88" s="45">
        <f>SUM(H89:H90)</f>
        <v>86839</v>
      </c>
    </row>
    <row r="89" spans="1:8" ht="15.75">
      <c r="A89" s="123" t="s">
        <v>219</v>
      </c>
      <c r="B89" s="86" t="s">
        <v>370</v>
      </c>
      <c r="C89" s="49">
        <f t="shared" si="0"/>
        <v>1324541</v>
      </c>
      <c r="D89" s="23">
        <f>1196031</f>
        <v>1196031</v>
      </c>
      <c r="E89" s="23">
        <v>113500</v>
      </c>
      <c r="F89" s="23"/>
      <c r="G89" s="23"/>
      <c r="H89" s="23">
        <v>15010</v>
      </c>
    </row>
    <row r="90" spans="1:8" ht="15.75">
      <c r="A90" s="126" t="s">
        <v>220</v>
      </c>
      <c r="B90" s="85" t="s">
        <v>327</v>
      </c>
      <c r="C90" s="49">
        <f t="shared" si="0"/>
        <v>476460</v>
      </c>
      <c r="D90" s="23">
        <f>237631</f>
        <v>237631</v>
      </c>
      <c r="E90" s="23">
        <v>167000</v>
      </c>
      <c r="F90" s="23"/>
      <c r="G90" s="21"/>
      <c r="H90" s="21">
        <v>71829</v>
      </c>
    </row>
    <row r="91" spans="1:8" ht="15.75">
      <c r="A91" s="120" t="s">
        <v>62</v>
      </c>
      <c r="B91" s="35" t="s">
        <v>104</v>
      </c>
      <c r="C91" s="50">
        <f t="shared" si="0"/>
        <v>156082</v>
      </c>
      <c r="D91" s="50">
        <f>SUM(D92:D94)</f>
        <v>156081</v>
      </c>
      <c r="E91" s="50">
        <f>SUM(E92:E94)</f>
        <v>0</v>
      </c>
      <c r="F91" s="50">
        <f>SUM(F92:F94)</f>
        <v>0</v>
      </c>
      <c r="G91" s="45">
        <f>SUM(G92:G94)</f>
        <v>0</v>
      </c>
      <c r="H91" s="45">
        <f>SUM(H92:H94)</f>
        <v>1</v>
      </c>
    </row>
    <row r="92" spans="1:8" ht="15.75">
      <c r="A92" s="122" t="s">
        <v>211</v>
      </c>
      <c r="B92" s="85" t="s">
        <v>457</v>
      </c>
      <c r="C92" s="49">
        <f t="shared" si="0"/>
        <v>89340</v>
      </c>
      <c r="D92" s="23">
        <f>79339+10000</f>
        <v>89339</v>
      </c>
      <c r="E92" s="23"/>
      <c r="F92" s="23"/>
      <c r="G92" s="21"/>
      <c r="H92" s="21">
        <v>1</v>
      </c>
    </row>
    <row r="93" spans="1:8" ht="15.75">
      <c r="A93" s="122" t="s">
        <v>305</v>
      </c>
      <c r="B93" s="85" t="s">
        <v>458</v>
      </c>
      <c r="C93" s="49">
        <f t="shared" si="0"/>
        <v>51226</v>
      </c>
      <c r="D93" s="23">
        <v>51226</v>
      </c>
      <c r="E93" s="23"/>
      <c r="F93" s="23"/>
      <c r="G93" s="21"/>
      <c r="H93" s="21"/>
    </row>
    <row r="94" spans="1:8" ht="19.5" customHeight="1">
      <c r="A94" s="122" t="s">
        <v>214</v>
      </c>
      <c r="B94" s="85" t="s">
        <v>215</v>
      </c>
      <c r="C94" s="49">
        <f>SUM(D94+E94+F94+G94+H94)</f>
        <v>15516</v>
      </c>
      <c r="D94" s="23">
        <v>15516</v>
      </c>
      <c r="E94" s="23"/>
      <c r="F94" s="23"/>
      <c r="G94" s="21"/>
      <c r="H94" s="21"/>
    </row>
    <row r="95" spans="1:8" ht="15.75">
      <c r="A95" s="120" t="s">
        <v>63</v>
      </c>
      <c r="B95" s="35" t="s">
        <v>151</v>
      </c>
      <c r="C95" s="50">
        <f aca="true" t="shared" si="4" ref="C95:C173">SUM(D95+E95+F95+G95+H95)</f>
        <v>775387</v>
      </c>
      <c r="D95" s="50">
        <f>SUM(D96:D98)</f>
        <v>755265</v>
      </c>
      <c r="E95" s="50">
        <f>SUM(E96:E98)</f>
        <v>0</v>
      </c>
      <c r="F95" s="50">
        <f>SUM(F96:F98)</f>
        <v>19096</v>
      </c>
      <c r="G95" s="45">
        <f>SUM(G96:G98)</f>
        <v>0</v>
      </c>
      <c r="H95" s="45">
        <f>SUM(H96:H98)</f>
        <v>1026</v>
      </c>
    </row>
    <row r="96" spans="1:8" s="8" customFormat="1" ht="16.5" customHeight="1">
      <c r="A96" s="122" t="s">
        <v>86</v>
      </c>
      <c r="B96" s="85" t="s">
        <v>463</v>
      </c>
      <c r="C96" s="49">
        <f t="shared" si="4"/>
        <v>383572</v>
      </c>
      <c r="D96" s="49">
        <v>363450</v>
      </c>
      <c r="E96" s="49"/>
      <c r="F96" s="49">
        <v>19096</v>
      </c>
      <c r="G96" s="47"/>
      <c r="H96" s="47">
        <v>1026</v>
      </c>
    </row>
    <row r="97" spans="1:8" s="8" customFormat="1" ht="15.75">
      <c r="A97" s="122" t="s">
        <v>87</v>
      </c>
      <c r="B97" s="85" t="s">
        <v>149</v>
      </c>
      <c r="C97" s="49">
        <f t="shared" si="4"/>
        <v>391815</v>
      </c>
      <c r="D97" s="49">
        <f>371815+20000</f>
        <v>391815</v>
      </c>
      <c r="E97" s="49"/>
      <c r="F97" s="49"/>
      <c r="G97" s="47"/>
      <c r="H97" s="47"/>
    </row>
    <row r="98" spans="1:8" s="8" customFormat="1" ht="15.75" hidden="1">
      <c r="A98" s="122"/>
      <c r="B98" s="85"/>
      <c r="C98" s="49">
        <f t="shared" si="4"/>
        <v>0</v>
      </c>
      <c r="D98" s="49"/>
      <c r="E98" s="49"/>
      <c r="F98" s="49"/>
      <c r="G98" s="47"/>
      <c r="H98" s="47"/>
    </row>
    <row r="99" spans="1:8" ht="15.75">
      <c r="A99" s="120" t="s">
        <v>446</v>
      </c>
      <c r="B99" s="88" t="s">
        <v>371</v>
      </c>
      <c r="C99" s="48">
        <f t="shared" si="4"/>
        <v>371080</v>
      </c>
      <c r="D99" s="48">
        <v>358080</v>
      </c>
      <c r="E99" s="48">
        <v>13000</v>
      </c>
      <c r="F99" s="48"/>
      <c r="G99" s="46"/>
      <c r="H99" s="46"/>
    </row>
    <row r="100" spans="1:8" ht="28.5">
      <c r="A100" s="120" t="s">
        <v>64</v>
      </c>
      <c r="B100" s="35" t="s">
        <v>225</v>
      </c>
      <c r="C100" s="50">
        <f t="shared" si="4"/>
        <v>212273</v>
      </c>
      <c r="D100" s="50">
        <f>SUM(D101:D104)</f>
        <v>212273</v>
      </c>
      <c r="E100" s="50">
        <f>SUM(E101:E104)</f>
        <v>0</v>
      </c>
      <c r="F100" s="50">
        <f>SUM(F101:F104)</f>
        <v>0</v>
      </c>
      <c r="G100" s="45">
        <f>SUM(G101:G104)</f>
        <v>0</v>
      </c>
      <c r="H100" s="45">
        <f>SUM(H101:H104)</f>
        <v>0</v>
      </c>
    </row>
    <row r="101" spans="1:8" ht="15.75">
      <c r="A101" s="122" t="s">
        <v>216</v>
      </c>
      <c r="B101" s="85" t="s">
        <v>292</v>
      </c>
      <c r="C101" s="23">
        <f t="shared" si="4"/>
        <v>42686</v>
      </c>
      <c r="D101" s="23">
        <v>42686</v>
      </c>
      <c r="E101" s="23"/>
      <c r="F101" s="23"/>
      <c r="G101" s="21"/>
      <c r="H101" s="21"/>
    </row>
    <row r="102" spans="1:8" ht="15.75">
      <c r="A102" s="122" t="s">
        <v>217</v>
      </c>
      <c r="B102" s="85" t="s">
        <v>222</v>
      </c>
      <c r="C102" s="23">
        <f t="shared" si="4"/>
        <v>15600</v>
      </c>
      <c r="D102" s="23">
        <v>15600</v>
      </c>
      <c r="E102" s="23"/>
      <c r="F102" s="23"/>
      <c r="G102" s="21"/>
      <c r="H102" s="21"/>
    </row>
    <row r="103" spans="1:8" ht="30">
      <c r="A103" s="122" t="s">
        <v>221</v>
      </c>
      <c r="B103" s="85" t="s">
        <v>223</v>
      </c>
      <c r="C103" s="23">
        <f t="shared" si="4"/>
        <v>4270</v>
      </c>
      <c r="D103" s="23">
        <v>4270</v>
      </c>
      <c r="E103" s="23"/>
      <c r="F103" s="23"/>
      <c r="G103" s="21"/>
      <c r="H103" s="21"/>
    </row>
    <row r="104" spans="1:8" ht="30">
      <c r="A104" s="123" t="s">
        <v>224</v>
      </c>
      <c r="B104" s="86" t="s">
        <v>372</v>
      </c>
      <c r="C104" s="23">
        <f t="shared" si="4"/>
        <v>149717</v>
      </c>
      <c r="D104" s="413">
        <f>143717+10000+5000-9000</f>
        <v>149717</v>
      </c>
      <c r="E104" s="23"/>
      <c r="F104" s="21"/>
      <c r="G104" s="21"/>
      <c r="H104" s="21"/>
    </row>
    <row r="105" spans="1:8" s="32" customFormat="1" ht="15.75">
      <c r="A105" s="119" t="s">
        <v>37</v>
      </c>
      <c r="B105" s="62" t="s">
        <v>16</v>
      </c>
      <c r="C105" s="63">
        <f t="shared" si="4"/>
        <v>24266442</v>
      </c>
      <c r="D105" s="63">
        <f>SUM(D106+D112+D122+D127+D130+D133)</f>
        <v>14849363</v>
      </c>
      <c r="E105" s="63">
        <f>SUM(E106+E112+E122+E127+E130+E133)</f>
        <v>577640</v>
      </c>
      <c r="F105" s="63">
        <f>SUM(F106+F112+F122+F127+F130+F133)</f>
        <v>7970657</v>
      </c>
      <c r="G105" s="63">
        <f>SUM(G106+G112+G122+G127+G130+G133)</f>
        <v>7200</v>
      </c>
      <c r="H105" s="63">
        <f>SUM(H106+H112+H122+H127+H130+H133)</f>
        <v>861582</v>
      </c>
    </row>
    <row r="106" spans="1:8" ht="15.75">
      <c r="A106" s="124" t="s">
        <v>102</v>
      </c>
      <c r="B106" s="37" t="s">
        <v>328</v>
      </c>
      <c r="C106" s="50">
        <f t="shared" si="4"/>
        <v>5963821</v>
      </c>
      <c r="D106" s="50">
        <f>SUM(D107:D111)</f>
        <v>5339563</v>
      </c>
      <c r="E106" s="50">
        <f>SUM(E107:E111)</f>
        <v>122073</v>
      </c>
      <c r="F106" s="50">
        <f>SUM(F107:F111)</f>
        <v>439243</v>
      </c>
      <c r="G106" s="50">
        <f>SUM(G107:G111)</f>
        <v>0</v>
      </c>
      <c r="H106" s="45">
        <f>SUM(H107:H111)</f>
        <v>62942</v>
      </c>
    </row>
    <row r="107" spans="1:8" s="8" customFormat="1" ht="15.75">
      <c r="A107" s="123" t="s">
        <v>194</v>
      </c>
      <c r="B107" s="86" t="s">
        <v>293</v>
      </c>
      <c r="C107" s="49">
        <f t="shared" si="4"/>
        <v>5963821</v>
      </c>
      <c r="D107" s="49">
        <f>5307093-12500+44970</f>
        <v>5339563</v>
      </c>
      <c r="E107" s="49">
        <v>122073</v>
      </c>
      <c r="F107" s="49">
        <v>439243</v>
      </c>
      <c r="G107" s="49"/>
      <c r="H107" s="49">
        <f>36945+25997</f>
        <v>62942</v>
      </c>
    </row>
    <row r="108" spans="1:8" s="8" customFormat="1" ht="15.75" hidden="1">
      <c r="A108" s="123"/>
      <c r="B108" s="86"/>
      <c r="C108" s="49">
        <f t="shared" si="4"/>
        <v>0</v>
      </c>
      <c r="D108" s="49"/>
      <c r="E108" s="49"/>
      <c r="F108" s="49"/>
      <c r="G108" s="49"/>
      <c r="H108" s="49"/>
    </row>
    <row r="109" spans="1:8" s="8" customFormat="1" ht="15.75" hidden="1">
      <c r="A109" s="123"/>
      <c r="B109" s="86"/>
      <c r="C109" s="49">
        <f t="shared" si="4"/>
        <v>0</v>
      </c>
      <c r="D109" s="49"/>
      <c r="E109" s="49"/>
      <c r="F109" s="49"/>
      <c r="G109" s="49"/>
      <c r="H109" s="49"/>
    </row>
    <row r="110" spans="1:8" s="8" customFormat="1" ht="15.75" hidden="1">
      <c r="A110" s="123"/>
      <c r="B110" s="86"/>
      <c r="C110" s="49">
        <f t="shared" si="4"/>
        <v>0</v>
      </c>
      <c r="D110" s="49"/>
      <c r="E110" s="49"/>
      <c r="F110" s="49"/>
      <c r="G110" s="49"/>
      <c r="H110" s="49"/>
    </row>
    <row r="111" spans="1:8" s="8" customFormat="1" ht="15.75" hidden="1">
      <c r="A111" s="123"/>
      <c r="B111" s="86"/>
      <c r="C111" s="49">
        <f t="shared" si="4"/>
        <v>0</v>
      </c>
      <c r="D111" s="49"/>
      <c r="E111" s="49"/>
      <c r="F111" s="49"/>
      <c r="G111" s="49"/>
      <c r="H111" s="49"/>
    </row>
    <row r="112" spans="1:8" ht="15.75">
      <c r="A112" s="124" t="s">
        <v>105</v>
      </c>
      <c r="B112" s="37" t="s">
        <v>106</v>
      </c>
      <c r="C112" s="50">
        <f t="shared" si="4"/>
        <v>14016321</v>
      </c>
      <c r="D112" s="50">
        <f>SUM(D113+D119)</f>
        <v>6321223</v>
      </c>
      <c r="E112" s="50">
        <f>SUM(E113+E119)</f>
        <v>152777</v>
      </c>
      <c r="F112" s="50">
        <f>SUM(F113+F119)</f>
        <v>6856794</v>
      </c>
      <c r="G112" s="50">
        <f>SUM(G113+G119)</f>
        <v>7200</v>
      </c>
      <c r="H112" s="45">
        <f>SUM(H113+H119)</f>
        <v>678327</v>
      </c>
    </row>
    <row r="113" spans="1:8" ht="15.75">
      <c r="A113" s="185" t="s">
        <v>212</v>
      </c>
      <c r="B113" s="37" t="s">
        <v>329</v>
      </c>
      <c r="C113" s="50">
        <f>SUM(D113+E113+F113+G113+H113)</f>
        <v>12857530</v>
      </c>
      <c r="D113" s="50">
        <f>SUM(D114:D118)</f>
        <v>5841844</v>
      </c>
      <c r="E113" s="50">
        <f>SUM(E114:E118)</f>
        <v>140731</v>
      </c>
      <c r="F113" s="50">
        <f>SUM(F114:F118)</f>
        <v>6248740</v>
      </c>
      <c r="G113" s="50">
        <f>SUM(G114:G118)</f>
        <v>0</v>
      </c>
      <c r="H113" s="45">
        <f>SUM(H114:H118)</f>
        <v>626215</v>
      </c>
    </row>
    <row r="114" spans="1:8" ht="30">
      <c r="A114" s="123" t="s">
        <v>440</v>
      </c>
      <c r="B114" s="86" t="s">
        <v>895</v>
      </c>
      <c r="C114" s="49">
        <f>SUM(D114+E114+F114+G114+H114)</f>
        <v>1202190</v>
      </c>
      <c r="D114" s="49">
        <v>1149260</v>
      </c>
      <c r="E114" s="49"/>
      <c r="F114" s="49"/>
      <c r="G114" s="49"/>
      <c r="H114" s="47">
        <v>52930</v>
      </c>
    </row>
    <row r="115" spans="1:8" ht="30">
      <c r="A115" s="123" t="s">
        <v>441</v>
      </c>
      <c r="B115" s="86" t="s">
        <v>464</v>
      </c>
      <c r="C115" s="49">
        <f>SUM(D115+E115+F115+G115+H115)</f>
        <v>9897</v>
      </c>
      <c r="D115" s="49">
        <v>9897</v>
      </c>
      <c r="E115" s="49"/>
      <c r="F115" s="49"/>
      <c r="G115" s="49"/>
      <c r="H115" s="47"/>
    </row>
    <row r="116" spans="1:8" ht="15.75">
      <c r="A116" s="123" t="s">
        <v>330</v>
      </c>
      <c r="B116" s="86" t="s">
        <v>375</v>
      </c>
      <c r="C116" s="49">
        <f t="shared" si="4"/>
        <v>9753153</v>
      </c>
      <c r="D116" s="414">
        <f>4475780-31300+22040+21000</f>
        <v>4487520</v>
      </c>
      <c r="E116" s="49">
        <v>123023</v>
      </c>
      <c r="F116" s="49">
        <v>4855522</v>
      </c>
      <c r="G116" s="49"/>
      <c r="H116" s="47">
        <f>72341+214747</f>
        <v>287088</v>
      </c>
    </row>
    <row r="117" spans="1:8" s="8" customFormat="1" ht="30">
      <c r="A117" s="123" t="s">
        <v>331</v>
      </c>
      <c r="B117" s="86" t="s">
        <v>373</v>
      </c>
      <c r="C117" s="49">
        <f>SUM(D117+E117+F117+G117+H117)</f>
        <v>1837765</v>
      </c>
      <c r="D117" s="49">
        <f>136367+8800+50000</f>
        <v>195167</v>
      </c>
      <c r="E117" s="49">
        <v>12708</v>
      </c>
      <c r="F117" s="49">
        <v>1383026</v>
      </c>
      <c r="G117" s="49"/>
      <c r="H117" s="47">
        <f>14843+232021</f>
        <v>246864</v>
      </c>
    </row>
    <row r="118" spans="1:8" s="8" customFormat="1" ht="21.75" customHeight="1">
      <c r="A118" s="123" t="s">
        <v>312</v>
      </c>
      <c r="B118" s="86" t="s">
        <v>374</v>
      </c>
      <c r="C118" s="49">
        <f>SUM(D118+E118+F118+G118+H118)</f>
        <v>54525</v>
      </c>
      <c r="D118" s="49"/>
      <c r="E118" s="49">
        <v>5000</v>
      </c>
      <c r="F118" s="49">
        <v>10192</v>
      </c>
      <c r="G118" s="49"/>
      <c r="H118" s="47">
        <v>39333</v>
      </c>
    </row>
    <row r="119" spans="1:8" ht="15.75">
      <c r="A119" s="124" t="s">
        <v>195</v>
      </c>
      <c r="B119" s="37" t="s">
        <v>196</v>
      </c>
      <c r="C119" s="50">
        <f>SUM(D119:H119)</f>
        <v>1158791</v>
      </c>
      <c r="D119" s="50">
        <f>SUM(D120:D121)</f>
        <v>479379</v>
      </c>
      <c r="E119" s="50">
        <f>SUM(E120:E121)</f>
        <v>12046</v>
      </c>
      <c r="F119" s="50">
        <f>SUM(F120:F121)</f>
        <v>608054</v>
      </c>
      <c r="G119" s="50">
        <f>SUM(G120:G121)</f>
        <v>7200</v>
      </c>
      <c r="H119" s="45">
        <f>SUM(H120:H121)</f>
        <v>52112</v>
      </c>
    </row>
    <row r="120" spans="1:8" s="33" customFormat="1" ht="15.75">
      <c r="A120" s="123" t="s">
        <v>333</v>
      </c>
      <c r="B120" s="86" t="s">
        <v>376</v>
      </c>
      <c r="C120" s="49">
        <f t="shared" si="4"/>
        <v>748197</v>
      </c>
      <c r="D120" s="49">
        <v>479379</v>
      </c>
      <c r="E120" s="49">
        <v>9244</v>
      </c>
      <c r="F120" s="49">
        <v>251459</v>
      </c>
      <c r="G120" s="49">
        <v>7200</v>
      </c>
      <c r="H120" s="49">
        <v>915</v>
      </c>
    </row>
    <row r="121" spans="1:8" s="33" customFormat="1" ht="15.75">
      <c r="A121" s="123" t="s">
        <v>334</v>
      </c>
      <c r="B121" s="86" t="s">
        <v>332</v>
      </c>
      <c r="C121" s="49">
        <f t="shared" si="4"/>
        <v>410594</v>
      </c>
      <c r="D121" s="49"/>
      <c r="E121" s="49">
        <v>2802</v>
      </c>
      <c r="F121" s="49">
        <v>356595</v>
      </c>
      <c r="G121" s="49"/>
      <c r="H121" s="49">
        <v>51197</v>
      </c>
    </row>
    <row r="122" spans="1:8" ht="15.75">
      <c r="A122" s="124" t="s">
        <v>88</v>
      </c>
      <c r="B122" s="37" t="s">
        <v>107</v>
      </c>
      <c r="C122" s="50">
        <f>SUM(D122+E122+F122+G122+H122)</f>
        <v>2687518</v>
      </c>
      <c r="D122" s="50">
        <f>SUM(D123:D126)</f>
        <v>1823022</v>
      </c>
      <c r="E122" s="50">
        <f>SUM(E123:E126)</f>
        <v>159715</v>
      </c>
      <c r="F122" s="50">
        <f>SUM(F123:F126)</f>
        <v>641978</v>
      </c>
      <c r="G122" s="50">
        <f>SUM(G123:G126)</f>
        <v>0</v>
      </c>
      <c r="H122" s="45">
        <f>SUM(H123:H126)</f>
        <v>62803</v>
      </c>
    </row>
    <row r="123" spans="1:8" s="8" customFormat="1" ht="30">
      <c r="A123" s="123" t="s">
        <v>90</v>
      </c>
      <c r="B123" s="86" t="s">
        <v>335</v>
      </c>
      <c r="C123" s="49">
        <f t="shared" si="4"/>
        <v>649902</v>
      </c>
      <c r="D123" s="49">
        <v>364584</v>
      </c>
      <c r="E123" s="49">
        <v>52052</v>
      </c>
      <c r="F123" s="49">
        <v>228421</v>
      </c>
      <c r="G123" s="49"/>
      <c r="H123" s="49">
        <f>459+4386</f>
        <v>4845</v>
      </c>
    </row>
    <row r="124" spans="1:8" s="8" customFormat="1" ht="15.75">
      <c r="A124" s="123" t="s">
        <v>91</v>
      </c>
      <c r="B124" s="86" t="s">
        <v>466</v>
      </c>
      <c r="C124" s="49">
        <f>SUM(D124+E124+F124+G124+H124)</f>
        <v>215126</v>
      </c>
      <c r="D124" s="49">
        <v>127791</v>
      </c>
      <c r="E124" s="49">
        <v>13157</v>
      </c>
      <c r="F124" s="49">
        <v>68372</v>
      </c>
      <c r="G124" s="49"/>
      <c r="H124" s="49">
        <f>4615+1191</f>
        <v>5806</v>
      </c>
    </row>
    <row r="125" spans="1:8" s="8" customFormat="1" ht="15.75">
      <c r="A125" s="123" t="s">
        <v>108</v>
      </c>
      <c r="B125" s="86" t="s">
        <v>465</v>
      </c>
      <c r="C125" s="49">
        <f>SUM(D125+E125+F125+G125+H125)</f>
        <v>1821691</v>
      </c>
      <c r="D125" s="49">
        <f>534281+272612+518754+5000</f>
        <v>1330647</v>
      </c>
      <c r="E125" s="49">
        <f>22400+9500+62606</f>
        <v>94506</v>
      </c>
      <c r="F125" s="49">
        <f>166926+42182+117077+19000</f>
        <v>345185</v>
      </c>
      <c r="G125" s="49"/>
      <c r="H125" s="49">
        <f>33160+239+3596+171+14187</f>
        <v>51353</v>
      </c>
    </row>
    <row r="126" spans="1:8" s="8" customFormat="1" ht="30">
      <c r="A126" s="123" t="s">
        <v>313</v>
      </c>
      <c r="B126" s="86" t="s">
        <v>377</v>
      </c>
      <c r="C126" s="49">
        <f>SUM(D126+E126+F126+G126+H126)</f>
        <v>799</v>
      </c>
      <c r="D126" s="49"/>
      <c r="E126" s="49"/>
      <c r="F126" s="49"/>
      <c r="G126" s="49"/>
      <c r="H126" s="49">
        <v>799</v>
      </c>
    </row>
    <row r="127" spans="1:8" s="8" customFormat="1" ht="15.75">
      <c r="A127" s="124" t="s">
        <v>197</v>
      </c>
      <c r="B127" s="37" t="s">
        <v>198</v>
      </c>
      <c r="C127" s="50">
        <f aca="true" t="shared" si="5" ref="C127:C132">SUM(D127+E127+F127+G127+H127)</f>
        <v>862519</v>
      </c>
      <c r="D127" s="50">
        <f>SUM(D128+D129)</f>
        <v>630368</v>
      </c>
      <c r="E127" s="50">
        <f>SUM(E128+E129)</f>
        <v>142592</v>
      </c>
      <c r="F127" s="50">
        <f>SUM(F128+F129)</f>
        <v>32642</v>
      </c>
      <c r="G127" s="50">
        <f>SUM(G128+G129)</f>
        <v>0</v>
      </c>
      <c r="H127" s="45">
        <f>SUM(H128+H129)</f>
        <v>56917</v>
      </c>
    </row>
    <row r="128" spans="1:8" s="8" customFormat="1" ht="30">
      <c r="A128" s="123" t="s">
        <v>199</v>
      </c>
      <c r="B128" s="86" t="s">
        <v>378</v>
      </c>
      <c r="C128" s="49">
        <f t="shared" si="5"/>
        <v>789651</v>
      </c>
      <c r="D128" s="49">
        <f>605412+10000+14956</f>
        <v>630368</v>
      </c>
      <c r="E128" s="49">
        <v>135592</v>
      </c>
      <c r="F128" s="49"/>
      <c r="G128" s="49"/>
      <c r="H128" s="49">
        <v>23691</v>
      </c>
    </row>
    <row r="129" spans="1:8" s="8" customFormat="1" ht="30">
      <c r="A129" s="123" t="s">
        <v>200</v>
      </c>
      <c r="B129" s="86" t="s">
        <v>379</v>
      </c>
      <c r="C129" s="49">
        <f t="shared" si="5"/>
        <v>72868</v>
      </c>
      <c r="D129" s="49"/>
      <c r="E129" s="49">
        <v>7000</v>
      </c>
      <c r="F129" s="49">
        <v>32642</v>
      </c>
      <c r="G129" s="49"/>
      <c r="H129" s="49">
        <v>33226</v>
      </c>
    </row>
    <row r="130" spans="1:8" s="8" customFormat="1" ht="15.75">
      <c r="A130" s="124" t="s">
        <v>201</v>
      </c>
      <c r="B130" s="37" t="s">
        <v>228</v>
      </c>
      <c r="C130" s="48">
        <f t="shared" si="5"/>
        <v>4275</v>
      </c>
      <c r="D130" s="50">
        <f>SUM(D131:D132)</f>
        <v>4275</v>
      </c>
      <c r="E130" s="50">
        <f>SUM(E131:E132)</f>
        <v>0</v>
      </c>
      <c r="F130" s="50">
        <f>SUM(F131:F132)</f>
        <v>0</v>
      </c>
      <c r="G130" s="50">
        <f>SUM(G131:G132)</f>
        <v>0</v>
      </c>
      <c r="H130" s="45">
        <f>SUM(H131:H132)</f>
        <v>0</v>
      </c>
    </row>
    <row r="131" spans="1:8" s="8" customFormat="1" ht="23.25" customHeight="1">
      <c r="A131" s="123" t="s">
        <v>226</v>
      </c>
      <c r="B131" s="86" t="s">
        <v>336</v>
      </c>
      <c r="C131" s="49">
        <f t="shared" si="5"/>
        <v>2850</v>
      </c>
      <c r="D131" s="49">
        <v>2850</v>
      </c>
      <c r="E131" s="49"/>
      <c r="F131" s="49"/>
      <c r="G131" s="49"/>
      <c r="H131" s="47"/>
    </row>
    <row r="132" spans="1:8" s="8" customFormat="1" ht="15.75">
      <c r="A132" s="123" t="s">
        <v>227</v>
      </c>
      <c r="B132" s="86" t="s">
        <v>337</v>
      </c>
      <c r="C132" s="49">
        <f t="shared" si="5"/>
        <v>1425</v>
      </c>
      <c r="D132" s="49">
        <v>1425</v>
      </c>
      <c r="E132" s="49"/>
      <c r="F132" s="49"/>
      <c r="G132" s="49"/>
      <c r="H132" s="47"/>
    </row>
    <row r="133" spans="1:8" s="8" customFormat="1" ht="15.75">
      <c r="A133" s="124" t="s">
        <v>103</v>
      </c>
      <c r="B133" s="37" t="s">
        <v>170</v>
      </c>
      <c r="C133" s="50">
        <f>SUM(D133+E133+F133+G133+H133)</f>
        <v>731988</v>
      </c>
      <c r="D133" s="50">
        <f>SUM(D134:D136)</f>
        <v>730912</v>
      </c>
      <c r="E133" s="50">
        <f>SUM(E134:E136)</f>
        <v>483</v>
      </c>
      <c r="F133" s="50">
        <f>SUM(F134:F136)</f>
        <v>0</v>
      </c>
      <c r="G133" s="50">
        <f>SUM(G134:G136)</f>
        <v>0</v>
      </c>
      <c r="H133" s="45">
        <f>SUM(H134:H136)</f>
        <v>593</v>
      </c>
    </row>
    <row r="134" spans="1:8" ht="30">
      <c r="A134" s="123" t="s">
        <v>169</v>
      </c>
      <c r="B134" s="86" t="s">
        <v>380</v>
      </c>
      <c r="C134" s="49">
        <f>SUM(D134+E134+F134+G134+H134)</f>
        <v>692301</v>
      </c>
      <c r="D134" s="49">
        <f>657301+35000</f>
        <v>692301</v>
      </c>
      <c r="E134" s="49"/>
      <c r="F134" s="49"/>
      <c r="G134" s="49"/>
      <c r="H134" s="49"/>
    </row>
    <row r="135" spans="1:8" ht="30" hidden="1">
      <c r="A135" s="123" t="s">
        <v>280</v>
      </c>
      <c r="B135" s="86" t="s">
        <v>382</v>
      </c>
      <c r="C135" s="49">
        <f>SUM(D135+E135+F135+G135+H135)</f>
        <v>0</v>
      </c>
      <c r="D135" s="49"/>
      <c r="E135" s="49"/>
      <c r="F135" s="49"/>
      <c r="G135" s="49"/>
      <c r="H135" s="49"/>
    </row>
    <row r="136" spans="1:8" ht="30">
      <c r="A136" s="123" t="s">
        <v>381</v>
      </c>
      <c r="B136" s="86" t="s">
        <v>383</v>
      </c>
      <c r="C136" s="49">
        <f>SUM(D136+E136+F136+G136+H136)</f>
        <v>39687</v>
      </c>
      <c r="D136" s="49">
        <v>38611</v>
      </c>
      <c r="E136" s="49">
        <v>483</v>
      </c>
      <c r="F136" s="49"/>
      <c r="G136" s="49"/>
      <c r="H136" s="47">
        <v>593</v>
      </c>
    </row>
    <row r="137" spans="1:8" s="32" customFormat="1" ht="15.75">
      <c r="A137" s="119" t="s">
        <v>38</v>
      </c>
      <c r="B137" s="62" t="s">
        <v>17</v>
      </c>
      <c r="C137" s="63">
        <f t="shared" si="4"/>
        <v>4785260</v>
      </c>
      <c r="D137" s="63">
        <f>SUM(D138+D144+D147+D153+D154+D155+D163)</f>
        <v>4385163</v>
      </c>
      <c r="E137" s="63">
        <f>SUM(E138+E144+E147+E153+E154+E155+E163)</f>
        <v>34559</v>
      </c>
      <c r="F137" s="63">
        <f>SUM(F138+F144+F147+F153+F154+F155+F163)</f>
        <v>321264</v>
      </c>
      <c r="G137" s="63">
        <f>SUM(G138+G144+G147+G153+G154+G155+G163)</f>
        <v>0</v>
      </c>
      <c r="H137" s="63">
        <f>SUM(H138+H144+H147+H153+H154+H155+H163)</f>
        <v>44274</v>
      </c>
    </row>
    <row r="138" spans="1:8" ht="15.75">
      <c r="A138" s="120" t="s">
        <v>92</v>
      </c>
      <c r="B138" s="35" t="s">
        <v>93</v>
      </c>
      <c r="C138" s="45">
        <f>SUM(D138+E138+F138+G138+H138)</f>
        <v>676097</v>
      </c>
      <c r="D138" s="45">
        <f>SUM(D139+D141+D142+D143+D140)</f>
        <v>404663</v>
      </c>
      <c r="E138" s="45">
        <f>SUM(E139+E141+E142+E143+E140)</f>
        <v>7426</v>
      </c>
      <c r="F138" s="45">
        <f>SUM(F139+F141+F142+F143+F140)</f>
        <v>262888</v>
      </c>
      <c r="G138" s="45">
        <f>SUM(G139+G141+G142+G143+G140)</f>
        <v>0</v>
      </c>
      <c r="H138" s="45">
        <f>SUM(H139+H141+H142+H143+H140)</f>
        <v>1120</v>
      </c>
    </row>
    <row r="139" spans="1:8" s="8" customFormat="1" ht="30">
      <c r="A139" s="123" t="s">
        <v>110</v>
      </c>
      <c r="B139" s="86" t="s">
        <v>114</v>
      </c>
      <c r="C139" s="49">
        <f t="shared" si="4"/>
        <v>328822</v>
      </c>
      <c r="D139" s="49">
        <v>103790</v>
      </c>
      <c r="E139" s="47"/>
      <c r="F139" s="47">
        <v>225000</v>
      </c>
      <c r="G139" s="47"/>
      <c r="H139" s="47">
        <v>32</v>
      </c>
    </row>
    <row r="140" spans="1:8" s="8" customFormat="1" ht="30">
      <c r="A140" s="122" t="s">
        <v>447</v>
      </c>
      <c r="B140" s="86" t="s">
        <v>467</v>
      </c>
      <c r="C140" s="47">
        <f t="shared" si="4"/>
        <v>96684</v>
      </c>
      <c r="D140" s="47">
        <v>96684</v>
      </c>
      <c r="E140" s="47"/>
      <c r="F140" s="47"/>
      <c r="G140" s="47"/>
      <c r="H140" s="47"/>
    </row>
    <row r="141" spans="1:8" s="8" customFormat="1" ht="15.75">
      <c r="A141" s="122" t="s">
        <v>111</v>
      </c>
      <c r="B141" s="85" t="s">
        <v>115</v>
      </c>
      <c r="C141" s="47">
        <f t="shared" si="4"/>
        <v>74189</v>
      </c>
      <c r="D141" s="47">
        <v>73181</v>
      </c>
      <c r="E141" s="47">
        <v>1008</v>
      </c>
      <c r="F141" s="47"/>
      <c r="G141" s="47"/>
      <c r="H141" s="47"/>
    </row>
    <row r="142" spans="1:8" s="8" customFormat="1" ht="15.75">
      <c r="A142" s="122" t="s">
        <v>112</v>
      </c>
      <c r="B142" s="85" t="s">
        <v>116</v>
      </c>
      <c r="C142" s="47">
        <f t="shared" si="4"/>
        <v>68253</v>
      </c>
      <c r="D142" s="47">
        <v>66135</v>
      </c>
      <c r="E142" s="47">
        <v>2118</v>
      </c>
      <c r="F142" s="47"/>
      <c r="G142" s="47"/>
      <c r="H142" s="47"/>
    </row>
    <row r="143" spans="1:8" s="8" customFormat="1" ht="15.75">
      <c r="A143" s="123" t="s">
        <v>113</v>
      </c>
      <c r="B143" s="86" t="s">
        <v>117</v>
      </c>
      <c r="C143" s="49">
        <f t="shared" si="4"/>
        <v>108149</v>
      </c>
      <c r="D143" s="49">
        <v>64873</v>
      </c>
      <c r="E143" s="47">
        <v>4300</v>
      </c>
      <c r="F143" s="47">
        <v>37888</v>
      </c>
      <c r="G143" s="47"/>
      <c r="H143" s="47">
        <f>666+422</f>
        <v>1088</v>
      </c>
    </row>
    <row r="144" spans="1:8" ht="15.75">
      <c r="A144" s="124" t="s">
        <v>118</v>
      </c>
      <c r="B144" s="37" t="s">
        <v>119</v>
      </c>
      <c r="C144" s="50">
        <f t="shared" si="4"/>
        <v>380941</v>
      </c>
      <c r="D144" s="50">
        <f>SUM(D145+D146)</f>
        <v>365348</v>
      </c>
      <c r="E144" s="45">
        <f>SUM(E145+E146)</f>
        <v>10000</v>
      </c>
      <c r="F144" s="45">
        <f>SUM(F145+F146)</f>
        <v>0</v>
      </c>
      <c r="G144" s="45">
        <f>SUM(G145+G146)</f>
        <v>0</v>
      </c>
      <c r="H144" s="45">
        <f>SUM(H145+H146)</f>
        <v>5593</v>
      </c>
    </row>
    <row r="145" spans="1:8" s="8" customFormat="1" ht="15.75">
      <c r="A145" s="123" t="s">
        <v>120</v>
      </c>
      <c r="B145" s="86" t="s">
        <v>122</v>
      </c>
      <c r="C145" s="49">
        <f t="shared" si="4"/>
        <v>241695</v>
      </c>
      <c r="D145" s="49">
        <v>227981</v>
      </c>
      <c r="E145" s="47">
        <v>10000</v>
      </c>
      <c r="F145" s="47"/>
      <c r="G145" s="47"/>
      <c r="H145" s="47">
        <v>3714</v>
      </c>
    </row>
    <row r="146" spans="1:8" s="8" customFormat="1" ht="15.75">
      <c r="A146" s="123" t="s">
        <v>121</v>
      </c>
      <c r="B146" s="86" t="s">
        <v>299</v>
      </c>
      <c r="C146" s="49">
        <f t="shared" si="4"/>
        <v>139246</v>
      </c>
      <c r="D146" s="49">
        <v>137367</v>
      </c>
      <c r="E146" s="47"/>
      <c r="F146" s="47"/>
      <c r="G146" s="47"/>
      <c r="H146" s="47">
        <v>1879</v>
      </c>
    </row>
    <row r="147" spans="1:8" ht="15.75">
      <c r="A147" s="124" t="s">
        <v>94</v>
      </c>
      <c r="B147" s="37" t="s">
        <v>294</v>
      </c>
      <c r="C147" s="50">
        <f t="shared" si="4"/>
        <v>904173</v>
      </c>
      <c r="D147" s="50">
        <f>SUM(D148:D152)</f>
        <v>873292</v>
      </c>
      <c r="E147" s="45">
        <f>SUM(E148:E152)</f>
        <v>3557</v>
      </c>
      <c r="F147" s="45">
        <f>SUM(F148:F152)</f>
        <v>23376</v>
      </c>
      <c r="G147" s="45">
        <f>SUM(G148:G152)</f>
        <v>0</v>
      </c>
      <c r="H147" s="45">
        <f>SUM(H148:H152)</f>
        <v>3948</v>
      </c>
    </row>
    <row r="148" spans="1:8" s="8" customFormat="1" ht="15.75" hidden="1">
      <c r="A148" s="123" t="s">
        <v>123</v>
      </c>
      <c r="B148" s="86" t="s">
        <v>152</v>
      </c>
      <c r="C148" s="49">
        <f t="shared" si="4"/>
        <v>0</v>
      </c>
      <c r="D148" s="49"/>
      <c r="E148" s="47"/>
      <c r="F148" s="47"/>
      <c r="G148" s="47"/>
      <c r="H148" s="47"/>
    </row>
    <row r="149" spans="1:8" s="8" customFormat="1" ht="30">
      <c r="A149" s="123" t="s">
        <v>160</v>
      </c>
      <c r="B149" s="86" t="s">
        <v>202</v>
      </c>
      <c r="C149" s="23">
        <f t="shared" si="4"/>
        <v>701760</v>
      </c>
      <c r="D149" s="49">
        <v>694518</v>
      </c>
      <c r="E149" s="49">
        <v>3557</v>
      </c>
      <c r="F149" s="49"/>
      <c r="G149" s="49"/>
      <c r="H149" s="49">
        <v>3685</v>
      </c>
    </row>
    <row r="150" spans="1:8" s="8" customFormat="1" ht="15.75">
      <c r="A150" s="123" t="s">
        <v>124</v>
      </c>
      <c r="B150" s="86" t="s">
        <v>384</v>
      </c>
      <c r="C150" s="49">
        <f t="shared" si="4"/>
        <v>179037</v>
      </c>
      <c r="D150" s="49">
        <v>178774</v>
      </c>
      <c r="E150" s="47"/>
      <c r="F150" s="47"/>
      <c r="G150" s="47"/>
      <c r="H150" s="47">
        <v>263</v>
      </c>
    </row>
    <row r="151" spans="1:8" s="8" customFormat="1" ht="15.75" hidden="1">
      <c r="A151" s="123"/>
      <c r="B151" s="86"/>
      <c r="C151" s="49">
        <f t="shared" si="4"/>
        <v>0</v>
      </c>
      <c r="D151" s="49"/>
      <c r="E151" s="49"/>
      <c r="F151" s="49"/>
      <c r="G151" s="49"/>
      <c r="H151" s="49"/>
    </row>
    <row r="152" spans="1:8" s="8" customFormat="1" ht="45">
      <c r="A152" s="123" t="s">
        <v>449</v>
      </c>
      <c r="B152" s="86" t="s">
        <v>468</v>
      </c>
      <c r="C152" s="49">
        <f t="shared" si="4"/>
        <v>23376</v>
      </c>
      <c r="D152" s="49"/>
      <c r="E152" s="49"/>
      <c r="F152" s="49">
        <v>23376</v>
      </c>
      <c r="G152" s="49"/>
      <c r="H152" s="49"/>
    </row>
    <row r="153" spans="1:8" s="8" customFormat="1" ht="15.75">
      <c r="A153" s="124" t="s">
        <v>278</v>
      </c>
      <c r="B153" s="183" t="s">
        <v>295</v>
      </c>
      <c r="C153" s="48">
        <f t="shared" si="4"/>
        <v>55000</v>
      </c>
      <c r="D153" s="48">
        <v>20000</v>
      </c>
      <c r="E153" s="48"/>
      <c r="F153" s="48">
        <v>35000</v>
      </c>
      <c r="G153" s="46"/>
      <c r="H153" s="46"/>
    </row>
    <row r="154" spans="1:8" ht="30">
      <c r="A154" s="124" t="s">
        <v>448</v>
      </c>
      <c r="B154" s="37" t="s">
        <v>297</v>
      </c>
      <c r="C154" s="48">
        <f t="shared" si="4"/>
        <v>600000</v>
      </c>
      <c r="D154" s="48">
        <v>600000</v>
      </c>
      <c r="E154" s="46"/>
      <c r="F154" s="46"/>
      <c r="G154" s="46"/>
      <c r="H154" s="46"/>
    </row>
    <row r="155" spans="1:8" ht="28.5">
      <c r="A155" s="124" t="s">
        <v>95</v>
      </c>
      <c r="B155" s="37" t="s">
        <v>296</v>
      </c>
      <c r="C155" s="50">
        <f t="shared" si="4"/>
        <v>960011</v>
      </c>
      <c r="D155" s="50">
        <f>SUM(D156:D162)</f>
        <v>946336</v>
      </c>
      <c r="E155" s="45">
        <f>SUM(E156:E162)</f>
        <v>12382</v>
      </c>
      <c r="F155" s="45">
        <f>SUM(F156:F162)</f>
        <v>0</v>
      </c>
      <c r="G155" s="45">
        <f>SUM(G156:G162)</f>
        <v>0</v>
      </c>
      <c r="H155" s="45">
        <f>SUM(H156:H162)</f>
        <v>1293</v>
      </c>
    </row>
    <row r="156" spans="1:8" s="8" customFormat="1" ht="15.75">
      <c r="A156" s="123" t="s">
        <v>125</v>
      </c>
      <c r="B156" s="86" t="s">
        <v>129</v>
      </c>
      <c r="C156" s="49">
        <f t="shared" si="4"/>
        <v>10109</v>
      </c>
      <c r="D156" s="49">
        <v>10109</v>
      </c>
      <c r="E156" s="47"/>
      <c r="F156" s="47"/>
      <c r="G156" s="47"/>
      <c r="H156" s="47"/>
    </row>
    <row r="157" spans="1:8" s="8" customFormat="1" ht="15.75" hidden="1">
      <c r="A157" s="122"/>
      <c r="B157" s="85"/>
      <c r="C157" s="47">
        <f t="shared" si="4"/>
        <v>0</v>
      </c>
      <c r="D157" s="47"/>
      <c r="E157" s="47"/>
      <c r="F157" s="47"/>
      <c r="G157" s="47"/>
      <c r="H157" s="47"/>
    </row>
    <row r="158" spans="1:8" s="8" customFormat="1" ht="30">
      <c r="A158" s="122" t="s">
        <v>126</v>
      </c>
      <c r="B158" s="85" t="s">
        <v>130</v>
      </c>
      <c r="C158" s="47">
        <f t="shared" si="4"/>
        <v>120966</v>
      </c>
      <c r="D158" s="47">
        <v>120966</v>
      </c>
      <c r="E158" s="47"/>
      <c r="F158" s="47"/>
      <c r="G158" s="47"/>
      <c r="H158" s="47"/>
    </row>
    <row r="159" spans="1:8" s="8" customFormat="1" ht="15.75">
      <c r="A159" s="122" t="s">
        <v>388</v>
      </c>
      <c r="B159" s="86" t="s">
        <v>385</v>
      </c>
      <c r="C159" s="47">
        <f t="shared" si="4"/>
        <v>85146</v>
      </c>
      <c r="D159" s="47">
        <v>81136</v>
      </c>
      <c r="E159" s="47">
        <v>4000</v>
      </c>
      <c r="F159" s="47"/>
      <c r="G159" s="47"/>
      <c r="H159" s="47">
        <v>10</v>
      </c>
    </row>
    <row r="160" spans="1:8" s="8" customFormat="1" ht="30">
      <c r="A160" s="123" t="s">
        <v>127</v>
      </c>
      <c r="B160" s="86" t="s">
        <v>896</v>
      </c>
      <c r="C160" s="49">
        <f t="shared" si="4"/>
        <v>640529</v>
      </c>
      <c r="D160" s="49">
        <v>634173</v>
      </c>
      <c r="E160" s="49">
        <v>5240</v>
      </c>
      <c r="F160" s="49"/>
      <c r="G160" s="49"/>
      <c r="H160" s="49">
        <v>1116</v>
      </c>
    </row>
    <row r="161" spans="1:8" s="8" customFormat="1" ht="15.75">
      <c r="A161" s="122" t="s">
        <v>128</v>
      </c>
      <c r="B161" s="85" t="s">
        <v>897</v>
      </c>
      <c r="C161" s="47">
        <f t="shared" si="4"/>
        <v>14783</v>
      </c>
      <c r="D161" s="47">
        <v>11783</v>
      </c>
      <c r="E161" s="47">
        <v>3000</v>
      </c>
      <c r="F161" s="47"/>
      <c r="G161" s="47"/>
      <c r="H161" s="47"/>
    </row>
    <row r="162" spans="1:8" s="8" customFormat="1" ht="30">
      <c r="A162" s="122" t="s">
        <v>306</v>
      </c>
      <c r="B162" s="85" t="s">
        <v>338</v>
      </c>
      <c r="C162" s="47">
        <f t="shared" si="4"/>
        <v>88478</v>
      </c>
      <c r="D162" s="47">
        <v>88169</v>
      </c>
      <c r="E162" s="47">
        <v>142</v>
      </c>
      <c r="F162" s="47"/>
      <c r="G162" s="47"/>
      <c r="H162" s="47">
        <v>167</v>
      </c>
    </row>
    <row r="163" spans="1:8" ht="15.75">
      <c r="A163" s="120" t="s">
        <v>339</v>
      </c>
      <c r="B163" s="35" t="s">
        <v>340</v>
      </c>
      <c r="C163" s="46">
        <f>D163+E163+F163+G163+H163</f>
        <v>1209038</v>
      </c>
      <c r="D163" s="46">
        <f>SUM(D164:D167)</f>
        <v>1175524</v>
      </c>
      <c r="E163" s="46">
        <f>SUM(E164:E167)</f>
        <v>1194</v>
      </c>
      <c r="F163" s="46">
        <f>SUM(F164:F167)</f>
        <v>0</v>
      </c>
      <c r="G163" s="46">
        <f>SUM(G164:G167)</f>
        <v>0</v>
      </c>
      <c r="H163" s="46">
        <f>SUM(H164:H167)</f>
        <v>32320</v>
      </c>
    </row>
    <row r="164" spans="1:8" ht="30">
      <c r="A164" s="122" t="s">
        <v>399</v>
      </c>
      <c r="B164" s="85" t="s">
        <v>386</v>
      </c>
      <c r="C164" s="47">
        <f t="shared" si="4"/>
        <v>951976</v>
      </c>
      <c r="D164" s="47">
        <v>948892</v>
      </c>
      <c r="E164" s="47">
        <v>1194</v>
      </c>
      <c r="F164" s="47"/>
      <c r="G164" s="47"/>
      <c r="H164" s="47">
        <v>1890</v>
      </c>
    </row>
    <row r="165" spans="1:8" ht="30">
      <c r="A165" s="122" t="s">
        <v>400</v>
      </c>
      <c r="B165" s="85" t="s">
        <v>898</v>
      </c>
      <c r="C165" s="47">
        <f>SUM(D165+E165+F165+G165+H165)</f>
        <v>862</v>
      </c>
      <c r="D165" s="47">
        <v>432</v>
      </c>
      <c r="E165" s="47"/>
      <c r="F165" s="47"/>
      <c r="G165" s="47"/>
      <c r="H165" s="47">
        <v>430</v>
      </c>
    </row>
    <row r="166" spans="1:8" ht="30">
      <c r="A166" s="122" t="s">
        <v>342</v>
      </c>
      <c r="B166" s="85" t="s">
        <v>341</v>
      </c>
      <c r="C166" s="47">
        <f t="shared" si="4"/>
        <v>11200</v>
      </c>
      <c r="D166" s="47">
        <v>11200</v>
      </c>
      <c r="E166" s="47"/>
      <c r="F166" s="47"/>
      <c r="G166" s="47"/>
      <c r="H166" s="47"/>
    </row>
    <row r="167" spans="1:8" ht="30">
      <c r="A167" s="122" t="s">
        <v>308</v>
      </c>
      <c r="B167" s="85" t="s">
        <v>343</v>
      </c>
      <c r="C167" s="47">
        <f t="shared" si="4"/>
        <v>245000</v>
      </c>
      <c r="D167" s="47">
        <v>215000</v>
      </c>
      <c r="E167" s="47"/>
      <c r="F167" s="47"/>
      <c r="G167" s="47"/>
      <c r="H167" s="47">
        <v>30000</v>
      </c>
    </row>
    <row r="168" spans="1:9" s="32" customFormat="1" ht="15.75">
      <c r="A168" s="128"/>
      <c r="B168" s="62" t="s">
        <v>53</v>
      </c>
      <c r="C168" s="63">
        <f>SUM(D168+E168+F168+G168+H168)+C174</f>
        <v>6082707</v>
      </c>
      <c r="D168" s="63">
        <f>SUM(D169+D170)</f>
        <v>908618</v>
      </c>
      <c r="E168" s="63">
        <f>SUM(E169+E170)</f>
        <v>0</v>
      </c>
      <c r="F168" s="63">
        <f>SUM(F169+F170)</f>
        <v>3136039</v>
      </c>
      <c r="G168" s="63">
        <f>SUM(G169+G170)</f>
        <v>0</v>
      </c>
      <c r="H168" s="63">
        <f>SUM(H169+H170)</f>
        <v>1438050</v>
      </c>
      <c r="I168" s="66"/>
    </row>
    <row r="169" spans="1:9" ht="15.75">
      <c r="A169" s="131" t="s">
        <v>182</v>
      </c>
      <c r="B169" s="37" t="s">
        <v>183</v>
      </c>
      <c r="C169" s="50">
        <f t="shared" si="4"/>
        <v>4926440</v>
      </c>
      <c r="D169" s="50">
        <v>352351</v>
      </c>
      <c r="E169" s="23"/>
      <c r="F169" s="23">
        <v>3136039</v>
      </c>
      <c r="G169" s="23"/>
      <c r="H169" s="23">
        <v>1438050</v>
      </c>
      <c r="I169" s="25"/>
    </row>
    <row r="170" spans="1:9" s="32" customFormat="1" ht="28.5">
      <c r="A170" s="131" t="s">
        <v>98</v>
      </c>
      <c r="B170" s="37" t="s">
        <v>184</v>
      </c>
      <c r="C170" s="50">
        <f t="shared" si="4"/>
        <v>556267</v>
      </c>
      <c r="D170" s="45">
        <f>D173+D171+D172</f>
        <v>556267</v>
      </c>
      <c r="E170" s="45">
        <f>E173+E171+E172</f>
        <v>0</v>
      </c>
      <c r="F170" s="45">
        <f>F173+F171+F172</f>
        <v>0</v>
      </c>
      <c r="G170" s="45">
        <f>G173+G171+G172</f>
        <v>0</v>
      </c>
      <c r="H170" s="45">
        <f>H173+H171+H172</f>
        <v>0</v>
      </c>
      <c r="I170" s="66"/>
    </row>
    <row r="171" spans="1:9" s="133" customFormat="1" ht="30">
      <c r="A171" s="131"/>
      <c r="B171" s="86" t="s">
        <v>348</v>
      </c>
      <c r="C171" s="23">
        <f t="shared" si="4"/>
        <v>15000</v>
      </c>
      <c r="D171" s="49">
        <v>15000</v>
      </c>
      <c r="E171" s="50"/>
      <c r="F171" s="50"/>
      <c r="G171" s="50"/>
      <c r="H171" s="50"/>
      <c r="I171" s="132"/>
    </row>
    <row r="172" spans="1:8" s="133" customFormat="1" ht="21.75" customHeight="1">
      <c r="A172" s="131"/>
      <c r="B172" s="86" t="s">
        <v>911</v>
      </c>
      <c r="C172" s="23">
        <f t="shared" si="4"/>
        <v>50000</v>
      </c>
      <c r="D172" s="49">
        <v>50000</v>
      </c>
      <c r="E172" s="50"/>
      <c r="F172" s="50"/>
      <c r="G172" s="50"/>
      <c r="H172" s="50"/>
    </row>
    <row r="173" spans="1:8" ht="30">
      <c r="A173" s="131"/>
      <c r="B173" s="86" t="s">
        <v>150</v>
      </c>
      <c r="C173" s="23">
        <f t="shared" si="4"/>
        <v>491267</v>
      </c>
      <c r="D173" s="49">
        <f>469267+22000</f>
        <v>491267</v>
      </c>
      <c r="E173" s="21"/>
      <c r="F173" s="21"/>
      <c r="G173" s="21"/>
      <c r="H173" s="21"/>
    </row>
    <row r="174" spans="1:8" ht="15.75">
      <c r="A174" s="131" t="s">
        <v>180</v>
      </c>
      <c r="B174" s="86" t="s">
        <v>450</v>
      </c>
      <c r="C174" s="23">
        <f>600000</f>
        <v>600000</v>
      </c>
      <c r="D174" s="49"/>
      <c r="E174" s="21"/>
      <c r="F174" s="21"/>
      <c r="G174" s="21"/>
      <c r="H174" s="21"/>
    </row>
    <row r="175" spans="1:8" ht="15.75">
      <c r="A175" s="129"/>
      <c r="B175" s="62" t="s">
        <v>76</v>
      </c>
      <c r="C175" s="63">
        <f aca="true" t="shared" si="6" ref="C175:H175">SUM(C168+C9)</f>
        <v>57066563</v>
      </c>
      <c r="D175" s="63">
        <f t="shared" si="6"/>
        <v>40181169</v>
      </c>
      <c r="E175" s="63">
        <f t="shared" si="6"/>
        <v>1429327</v>
      </c>
      <c r="F175" s="63">
        <f t="shared" si="6"/>
        <v>11474909</v>
      </c>
      <c r="G175" s="63">
        <f t="shared" si="6"/>
        <v>706179</v>
      </c>
      <c r="H175" s="63">
        <f t="shared" si="6"/>
        <v>2674979</v>
      </c>
    </row>
    <row r="176" spans="1:8" s="41" customFormat="1" ht="15.75">
      <c r="A176" s="39"/>
      <c r="B176" s="40"/>
      <c r="C176" s="51"/>
      <c r="D176" s="52"/>
      <c r="E176" s="52"/>
      <c r="F176" s="39"/>
      <c r="G176" s="39"/>
      <c r="H176" s="51"/>
    </row>
    <row r="177" spans="3:8" ht="15.75">
      <c r="C177" s="53"/>
      <c r="D177" s="54"/>
      <c r="E177" s="26"/>
      <c r="F177" s="26"/>
      <c r="G177" s="26"/>
      <c r="H177" s="26"/>
    </row>
    <row r="178" spans="1:8" s="41" customFormat="1" ht="18.75">
      <c r="A178" s="7" t="s">
        <v>27</v>
      </c>
      <c r="B178" s="74"/>
      <c r="C178" s="75"/>
      <c r="D178" s="98"/>
      <c r="E178" s="7"/>
      <c r="F178" s="7"/>
      <c r="G178" s="7"/>
      <c r="H178" s="73" t="s">
        <v>83</v>
      </c>
    </row>
    <row r="179" spans="3:8" ht="15.75">
      <c r="C179" s="53"/>
      <c r="D179" s="55"/>
      <c r="E179" s="26"/>
      <c r="F179" s="26"/>
      <c r="G179" s="26"/>
      <c r="H179" s="26"/>
    </row>
    <row r="180" spans="3:8" ht="15.75">
      <c r="C180" s="26"/>
      <c r="D180" s="55"/>
      <c r="E180" s="26"/>
      <c r="F180" s="26"/>
      <c r="G180" s="26"/>
      <c r="H180" s="26"/>
    </row>
    <row r="181" spans="3:8" ht="15.75">
      <c r="C181" s="26"/>
      <c r="D181" s="55"/>
      <c r="E181" s="53"/>
      <c r="F181" s="26"/>
      <c r="G181" s="26"/>
      <c r="H181" s="26"/>
    </row>
    <row r="182" ht="15.75">
      <c r="C182" s="38"/>
    </row>
  </sheetData>
  <sheetProtection/>
  <mergeCells count="6">
    <mergeCell ref="A4:H4"/>
    <mergeCell ref="A5:H5"/>
    <mergeCell ref="D7:H7"/>
    <mergeCell ref="A7:A8"/>
    <mergeCell ref="B7:B8"/>
    <mergeCell ref="C7:C8"/>
  </mergeCell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landscape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144"/>
  <sheetViews>
    <sheetView showGridLines="0" zoomScalePageLayoutView="0" workbookViewId="0" topLeftCell="A1124">
      <selection activeCell="A1" sqref="A1:C1144"/>
    </sheetView>
  </sheetViews>
  <sheetFormatPr defaultColWidth="9.140625" defaultRowHeight="12.75"/>
  <cols>
    <col min="1" max="1" width="2.7109375" style="394" customWidth="1"/>
    <col min="2" max="2" width="77.7109375" style="394" customWidth="1"/>
    <col min="3" max="3" width="13.28125" style="394" customWidth="1"/>
    <col min="4" max="16384" width="9.140625" style="394" customWidth="1"/>
  </cols>
  <sheetData>
    <row r="1" spans="1:3" ht="15.75">
      <c r="A1" s="442"/>
      <c r="B1" s="442"/>
      <c r="C1" s="393" t="s">
        <v>910</v>
      </c>
    </row>
    <row r="2" ht="15.75">
      <c r="C2" s="393" t="s">
        <v>914</v>
      </c>
    </row>
    <row r="3" ht="15.75">
      <c r="C3" s="395" t="s">
        <v>915</v>
      </c>
    </row>
    <row r="5" spans="2:3" ht="36" customHeight="1">
      <c r="B5" s="443" t="s">
        <v>753</v>
      </c>
      <c r="C5" s="444"/>
    </row>
    <row r="6" spans="1:3" ht="42.75" customHeight="1">
      <c r="A6" s="445" t="s">
        <v>754</v>
      </c>
      <c r="B6" s="446"/>
      <c r="C6" s="396" t="s">
        <v>429</v>
      </c>
    </row>
    <row r="7" spans="1:3" ht="15.75">
      <c r="A7" s="397"/>
      <c r="B7" s="397"/>
      <c r="C7" s="397"/>
    </row>
    <row r="8" spans="1:3" ht="15.75" customHeight="1">
      <c r="A8" s="447" t="s">
        <v>755</v>
      </c>
      <c r="B8" s="447"/>
      <c r="C8" s="447"/>
    </row>
    <row r="9" spans="1:3" ht="15.75" customHeight="1">
      <c r="A9" s="447" t="s">
        <v>756</v>
      </c>
      <c r="B9" s="447"/>
      <c r="C9" s="405">
        <v>5991452</v>
      </c>
    </row>
    <row r="10" spans="1:3" ht="15.75" customHeight="1">
      <c r="A10" s="448" t="s">
        <v>757</v>
      </c>
      <c r="B10" s="448"/>
      <c r="C10" s="404">
        <v>2985204</v>
      </c>
    </row>
    <row r="11" spans="1:3" ht="15.75" customHeight="1">
      <c r="A11" s="448" t="s">
        <v>758</v>
      </c>
      <c r="B11" s="448"/>
      <c r="C11" s="404">
        <v>2320955</v>
      </c>
    </row>
    <row r="12" spans="1:3" ht="15.75" customHeight="1">
      <c r="A12" s="448" t="s">
        <v>759</v>
      </c>
      <c r="B12" s="448"/>
      <c r="C12" s="404">
        <v>664249</v>
      </c>
    </row>
    <row r="13" spans="1:3" ht="15.75" customHeight="1">
      <c r="A13" s="448" t="s">
        <v>760</v>
      </c>
      <c r="B13" s="448"/>
      <c r="C13" s="404">
        <v>1552023</v>
      </c>
    </row>
    <row r="14" spans="1:3" ht="15.75" customHeight="1">
      <c r="A14" s="448" t="s">
        <v>761</v>
      </c>
      <c r="B14" s="448"/>
      <c r="C14" s="404">
        <v>35420</v>
      </c>
    </row>
    <row r="15" spans="1:3" ht="15.75" customHeight="1">
      <c r="A15" s="448" t="s">
        <v>762</v>
      </c>
      <c r="B15" s="448"/>
      <c r="C15" s="404">
        <v>1268007</v>
      </c>
    </row>
    <row r="16" spans="1:3" ht="15.75" customHeight="1">
      <c r="A16" s="448" t="s">
        <v>763</v>
      </c>
      <c r="B16" s="448"/>
      <c r="C16" s="404">
        <v>372681</v>
      </c>
    </row>
    <row r="17" spans="1:3" ht="30" customHeight="1">
      <c r="A17" s="448" t="s">
        <v>764</v>
      </c>
      <c r="B17" s="448"/>
      <c r="C17" s="404">
        <v>234296</v>
      </c>
    </row>
    <row r="18" spans="1:3" ht="15.75" customHeight="1">
      <c r="A18" s="448" t="s">
        <v>765</v>
      </c>
      <c r="B18" s="448"/>
      <c r="C18" s="404">
        <v>14300</v>
      </c>
    </row>
    <row r="19" spans="1:3" ht="15.75" customHeight="1">
      <c r="A19" s="448" t="s">
        <v>766</v>
      </c>
      <c r="B19" s="448"/>
      <c r="C19" s="404">
        <v>150000</v>
      </c>
    </row>
    <row r="20" spans="1:3" ht="15.75" customHeight="1">
      <c r="A20" s="448" t="s">
        <v>767</v>
      </c>
      <c r="B20" s="448"/>
      <c r="C20" s="404">
        <v>150000</v>
      </c>
    </row>
    <row r="21" spans="1:3" ht="15.75" customHeight="1">
      <c r="A21" s="448" t="s">
        <v>768</v>
      </c>
      <c r="B21" s="448"/>
      <c r="C21" s="404">
        <v>311258</v>
      </c>
    </row>
    <row r="22" spans="1:3" ht="15.75" customHeight="1">
      <c r="A22" s="448" t="s">
        <v>769</v>
      </c>
      <c r="B22" s="448"/>
      <c r="C22" s="404">
        <v>33687</v>
      </c>
    </row>
    <row r="23" spans="1:3" ht="15.75" customHeight="1">
      <c r="A23" s="448" t="s">
        <v>770</v>
      </c>
      <c r="B23" s="448"/>
      <c r="C23" s="404">
        <v>277571</v>
      </c>
    </row>
    <row r="24" spans="1:3" ht="15.75" customHeight="1">
      <c r="A24" s="448" t="s">
        <v>771</v>
      </c>
      <c r="B24" s="448"/>
      <c r="C24" s="404">
        <v>992967</v>
      </c>
    </row>
    <row r="25" spans="1:3" ht="15.75" customHeight="1">
      <c r="A25" s="448" t="s">
        <v>772</v>
      </c>
      <c r="B25" s="448"/>
      <c r="C25" s="404">
        <v>992967</v>
      </c>
    </row>
    <row r="26" spans="1:3" ht="15.75" customHeight="1">
      <c r="A26" s="448" t="s">
        <v>773</v>
      </c>
      <c r="B26" s="448"/>
      <c r="C26" s="404">
        <v>90</v>
      </c>
    </row>
    <row r="27" spans="1:3" ht="15.75">
      <c r="A27" s="397"/>
      <c r="B27" s="397"/>
      <c r="C27" s="397"/>
    </row>
    <row r="28" spans="1:3" ht="15.75" customHeight="1">
      <c r="A28" s="449" t="s">
        <v>774</v>
      </c>
      <c r="B28" s="450"/>
      <c r="C28" s="450"/>
    </row>
    <row r="29" spans="1:3" ht="15.75" customHeight="1">
      <c r="A29" s="449" t="s">
        <v>756</v>
      </c>
      <c r="B29" s="451"/>
      <c r="C29" s="398">
        <v>3424800</v>
      </c>
    </row>
    <row r="30" spans="1:3" ht="15.75" customHeight="1">
      <c r="A30" s="452" t="s">
        <v>757</v>
      </c>
      <c r="B30" s="450"/>
      <c r="C30" s="399">
        <v>2798234</v>
      </c>
    </row>
    <row r="31" spans="1:3" ht="15.75" customHeight="1">
      <c r="A31" s="452" t="s">
        <v>758</v>
      </c>
      <c r="B31" s="450"/>
      <c r="C31" s="399">
        <v>2176532</v>
      </c>
    </row>
    <row r="32" spans="1:3" ht="15.75" customHeight="1">
      <c r="A32" s="452" t="s">
        <v>759</v>
      </c>
      <c r="B32" s="450"/>
      <c r="C32" s="399">
        <v>621702</v>
      </c>
    </row>
    <row r="33" spans="1:3" ht="15.75" customHeight="1">
      <c r="A33" s="452" t="s">
        <v>760</v>
      </c>
      <c r="B33" s="450"/>
      <c r="C33" s="399">
        <v>578066</v>
      </c>
    </row>
    <row r="34" spans="1:3" ht="15.75" customHeight="1">
      <c r="A34" s="452" t="s">
        <v>761</v>
      </c>
      <c r="B34" s="450"/>
      <c r="C34" s="399">
        <v>24500</v>
      </c>
    </row>
    <row r="35" spans="1:3" ht="15.75" customHeight="1">
      <c r="A35" s="452" t="s">
        <v>762</v>
      </c>
      <c r="B35" s="450"/>
      <c r="C35" s="399">
        <v>350627</v>
      </c>
    </row>
    <row r="36" spans="1:3" ht="30" customHeight="1">
      <c r="A36" s="452" t="s">
        <v>764</v>
      </c>
      <c r="B36" s="450"/>
      <c r="C36" s="399">
        <v>188639</v>
      </c>
    </row>
    <row r="37" spans="1:3" ht="15.75" customHeight="1">
      <c r="A37" s="452" t="s">
        <v>765</v>
      </c>
      <c r="B37" s="450"/>
      <c r="C37" s="399">
        <v>14300</v>
      </c>
    </row>
    <row r="38" spans="1:3" ht="15.75" customHeight="1">
      <c r="A38" s="452" t="s">
        <v>768</v>
      </c>
      <c r="B38" s="450"/>
      <c r="C38" s="399">
        <v>48500</v>
      </c>
    </row>
    <row r="39" spans="1:3" ht="15.75" customHeight="1">
      <c r="A39" s="452" t="s">
        <v>770</v>
      </c>
      <c r="B39" s="450"/>
      <c r="C39" s="399">
        <v>48500</v>
      </c>
    </row>
    <row r="40" spans="1:3" ht="15.75">
      <c r="A40" s="397"/>
      <c r="B40" s="397"/>
      <c r="C40" s="397"/>
    </row>
    <row r="41" spans="1:3" ht="15.75" customHeight="1">
      <c r="A41" s="449" t="s">
        <v>775</v>
      </c>
      <c r="B41" s="450"/>
      <c r="C41" s="450"/>
    </row>
    <row r="42" spans="1:3" ht="15.75" customHeight="1">
      <c r="A42" s="449" t="s">
        <v>756</v>
      </c>
      <c r="B42" s="451"/>
      <c r="C42" s="398">
        <v>53692</v>
      </c>
    </row>
    <row r="43" spans="1:3" ht="15.75" customHeight="1">
      <c r="A43" s="452" t="s">
        <v>757</v>
      </c>
      <c r="B43" s="450"/>
      <c r="C43" s="399">
        <v>8900</v>
      </c>
    </row>
    <row r="44" spans="1:3" ht="15.75" customHeight="1">
      <c r="A44" s="452" t="s">
        <v>758</v>
      </c>
      <c r="B44" s="450"/>
      <c r="C44" s="399">
        <v>7000</v>
      </c>
    </row>
    <row r="45" spans="1:3" ht="15.75" customHeight="1">
      <c r="A45" s="452" t="s">
        <v>759</v>
      </c>
      <c r="B45" s="450"/>
      <c r="C45" s="399">
        <v>1900</v>
      </c>
    </row>
    <row r="46" spans="1:3" ht="15.75" customHeight="1">
      <c r="A46" s="452" t="s">
        <v>760</v>
      </c>
      <c r="B46" s="450"/>
      <c r="C46" s="399">
        <v>44792</v>
      </c>
    </row>
    <row r="47" spans="1:3" ht="15.75" customHeight="1">
      <c r="A47" s="452" t="s">
        <v>761</v>
      </c>
      <c r="B47" s="450"/>
      <c r="C47" s="399">
        <v>10920</v>
      </c>
    </row>
    <row r="48" spans="1:3" ht="15.75" customHeight="1">
      <c r="A48" s="452" t="s">
        <v>762</v>
      </c>
      <c r="B48" s="450"/>
      <c r="C48" s="399">
        <v>33872</v>
      </c>
    </row>
    <row r="49" spans="1:3" ht="28.5" customHeight="1">
      <c r="A49" s="449" t="s">
        <v>776</v>
      </c>
      <c r="B49" s="450"/>
      <c r="C49" s="450"/>
    </row>
    <row r="50" spans="1:3" ht="15.75" customHeight="1">
      <c r="A50" s="449" t="s">
        <v>756</v>
      </c>
      <c r="B50" s="451"/>
      <c r="C50" s="398">
        <v>14000</v>
      </c>
    </row>
    <row r="51" spans="1:3" ht="15.75" customHeight="1">
      <c r="A51" s="452" t="s">
        <v>760</v>
      </c>
      <c r="B51" s="450"/>
      <c r="C51" s="399">
        <v>14000</v>
      </c>
    </row>
    <row r="52" spans="1:3" ht="15.75" customHeight="1">
      <c r="A52" s="452" t="s">
        <v>762</v>
      </c>
      <c r="B52" s="450"/>
      <c r="C52" s="399">
        <v>11004</v>
      </c>
    </row>
    <row r="53" spans="1:3" ht="30" customHeight="1">
      <c r="A53" s="452" t="s">
        <v>764</v>
      </c>
      <c r="B53" s="450"/>
      <c r="C53" s="399">
        <v>2996</v>
      </c>
    </row>
    <row r="54" spans="1:3" ht="15.75">
      <c r="A54" s="397"/>
      <c r="B54" s="397"/>
      <c r="C54" s="397"/>
    </row>
    <row r="55" spans="1:3" ht="15.75" customHeight="1">
      <c r="A55" s="449" t="s">
        <v>777</v>
      </c>
      <c r="B55" s="450"/>
      <c r="C55" s="450"/>
    </row>
    <row r="56" spans="1:3" ht="15.75" customHeight="1">
      <c r="A56" s="449" t="s">
        <v>756</v>
      </c>
      <c r="B56" s="451"/>
      <c r="C56" s="398">
        <v>42943</v>
      </c>
    </row>
    <row r="57" spans="1:3" ht="15.75" customHeight="1">
      <c r="A57" s="452" t="s">
        <v>760</v>
      </c>
      <c r="B57" s="450"/>
      <c r="C57" s="399">
        <v>42700</v>
      </c>
    </row>
    <row r="58" spans="1:3" ht="15.75" customHeight="1">
      <c r="A58" s="452" t="s">
        <v>762</v>
      </c>
      <c r="B58" s="450"/>
      <c r="C58" s="399">
        <v>42700</v>
      </c>
    </row>
    <row r="59" spans="1:3" ht="15.75">
      <c r="A59" s="452" t="s">
        <v>771</v>
      </c>
      <c r="B59" s="450"/>
      <c r="C59" s="399">
        <v>243</v>
      </c>
    </row>
    <row r="60" spans="1:3" ht="15.75" customHeight="1">
      <c r="A60" s="452" t="s">
        <v>772</v>
      </c>
      <c r="B60" s="450"/>
      <c r="C60" s="399">
        <v>243</v>
      </c>
    </row>
    <row r="61" spans="1:3" ht="15.75">
      <c r="A61" s="397"/>
      <c r="B61" s="397"/>
      <c r="C61" s="397"/>
    </row>
    <row r="62" spans="1:3" ht="15.75" customHeight="1">
      <c r="A62" s="449" t="s">
        <v>778</v>
      </c>
      <c r="B62" s="450"/>
      <c r="C62" s="450"/>
    </row>
    <row r="63" spans="1:3" ht="15.75" customHeight="1">
      <c r="A63" s="449" t="s">
        <v>756</v>
      </c>
      <c r="B63" s="451"/>
      <c r="C63" s="398">
        <v>191225</v>
      </c>
    </row>
    <row r="64" spans="1:3" ht="15.75" customHeight="1">
      <c r="A64" s="452" t="s">
        <v>757</v>
      </c>
      <c r="B64" s="450"/>
      <c r="C64" s="399">
        <v>178070</v>
      </c>
    </row>
    <row r="65" spans="1:3" ht="15.75" customHeight="1">
      <c r="A65" s="452" t="s">
        <v>758</v>
      </c>
      <c r="B65" s="450"/>
      <c r="C65" s="399">
        <v>137423</v>
      </c>
    </row>
    <row r="66" spans="1:3" ht="15.75" customHeight="1">
      <c r="A66" s="452" t="s">
        <v>759</v>
      </c>
      <c r="B66" s="450"/>
      <c r="C66" s="399">
        <v>40647</v>
      </c>
    </row>
    <row r="67" spans="1:3" ht="15.75" customHeight="1">
      <c r="A67" s="452" t="s">
        <v>760</v>
      </c>
      <c r="B67" s="450"/>
      <c r="C67" s="399">
        <v>10755</v>
      </c>
    </row>
    <row r="68" spans="1:3" ht="15.75" customHeight="1">
      <c r="A68" s="452" t="s">
        <v>762</v>
      </c>
      <c r="B68" s="450"/>
      <c r="C68" s="399">
        <v>5864</v>
      </c>
    </row>
    <row r="69" spans="1:3" ht="30" customHeight="1">
      <c r="A69" s="452" t="s">
        <v>764</v>
      </c>
      <c r="B69" s="450"/>
      <c r="C69" s="399">
        <v>4891</v>
      </c>
    </row>
    <row r="70" spans="1:3" ht="15.75" customHeight="1">
      <c r="A70" s="452" t="s">
        <v>768</v>
      </c>
      <c r="B70" s="450"/>
      <c r="C70" s="399">
        <v>2400</v>
      </c>
    </row>
    <row r="71" spans="1:3" ht="15.75" customHeight="1">
      <c r="A71" s="452" t="s">
        <v>770</v>
      </c>
      <c r="B71" s="450"/>
      <c r="C71" s="399">
        <v>2400</v>
      </c>
    </row>
    <row r="72" spans="1:3" ht="15.75">
      <c r="A72" s="397"/>
      <c r="B72" s="397"/>
      <c r="C72" s="397"/>
    </row>
    <row r="73" spans="1:3" ht="15.75" customHeight="1">
      <c r="A73" s="449" t="s">
        <v>779</v>
      </c>
      <c r="B73" s="450"/>
      <c r="C73" s="450"/>
    </row>
    <row r="74" spans="1:3" ht="15.75" customHeight="1">
      <c r="A74" s="449" t="s">
        <v>756</v>
      </c>
      <c r="B74" s="451"/>
      <c r="C74" s="398">
        <v>73585</v>
      </c>
    </row>
    <row r="75" spans="1:3" ht="15.75" customHeight="1">
      <c r="A75" s="452" t="s">
        <v>760</v>
      </c>
      <c r="B75" s="450"/>
      <c r="C75" s="399">
        <v>73585</v>
      </c>
    </row>
    <row r="76" spans="1:3" ht="15.75" customHeight="1">
      <c r="A76" s="452" t="s">
        <v>762</v>
      </c>
      <c r="B76" s="450"/>
      <c r="C76" s="399">
        <v>73585</v>
      </c>
    </row>
    <row r="77" spans="1:3" ht="15.75">
      <c r="A77" s="397"/>
      <c r="B77" s="397"/>
      <c r="C77" s="397"/>
    </row>
    <row r="78" spans="1:3" ht="15.75" customHeight="1">
      <c r="A78" s="449" t="s">
        <v>780</v>
      </c>
      <c r="B78" s="450"/>
      <c r="C78" s="450"/>
    </row>
    <row r="79" spans="1:3" ht="15.75" customHeight="1">
      <c r="A79" s="449" t="s">
        <v>756</v>
      </c>
      <c r="B79" s="451"/>
      <c r="C79" s="398">
        <v>525702</v>
      </c>
    </row>
    <row r="80" spans="1:3" ht="15.75" customHeight="1">
      <c r="A80" s="452" t="s">
        <v>760</v>
      </c>
      <c r="B80" s="450"/>
      <c r="C80" s="399">
        <v>265344</v>
      </c>
    </row>
    <row r="81" spans="1:3" ht="15.75" customHeight="1">
      <c r="A81" s="452" t="s">
        <v>762</v>
      </c>
      <c r="B81" s="450"/>
      <c r="C81" s="399">
        <v>227574</v>
      </c>
    </row>
    <row r="82" spans="1:3" ht="30" customHeight="1">
      <c r="A82" s="452" t="s">
        <v>764</v>
      </c>
      <c r="B82" s="450"/>
      <c r="C82" s="399">
        <v>37770</v>
      </c>
    </row>
    <row r="83" spans="1:3" ht="15.75" customHeight="1">
      <c r="A83" s="452" t="s">
        <v>768</v>
      </c>
      <c r="B83" s="450"/>
      <c r="C83" s="399">
        <v>260358</v>
      </c>
    </row>
    <row r="84" spans="1:3" ht="15.75" customHeight="1">
      <c r="A84" s="452" t="s">
        <v>769</v>
      </c>
      <c r="B84" s="450"/>
      <c r="C84" s="399">
        <v>33687</v>
      </c>
    </row>
    <row r="85" spans="1:3" ht="15.75" customHeight="1">
      <c r="A85" s="452" t="s">
        <v>770</v>
      </c>
      <c r="B85" s="450"/>
      <c r="C85" s="399">
        <v>226671</v>
      </c>
    </row>
    <row r="86" spans="1:3" ht="15.75">
      <c r="A86" s="397"/>
      <c r="B86" s="397"/>
      <c r="C86" s="397"/>
    </row>
    <row r="87" spans="1:3" ht="15.75" customHeight="1">
      <c r="A87" s="449" t="s">
        <v>781</v>
      </c>
      <c r="B87" s="450"/>
      <c r="C87" s="450"/>
    </row>
    <row r="88" spans="1:3" ht="15.75" customHeight="1">
      <c r="A88" s="449" t="s">
        <v>756</v>
      </c>
      <c r="B88" s="451"/>
      <c r="C88" s="398">
        <v>300000</v>
      </c>
    </row>
    <row r="89" spans="1:3" ht="15.75" customHeight="1">
      <c r="A89" s="452" t="s">
        <v>760</v>
      </c>
      <c r="B89" s="450"/>
      <c r="C89" s="399">
        <v>150000</v>
      </c>
    </row>
    <row r="90" spans="1:3" ht="15.75" customHeight="1">
      <c r="A90" s="452" t="s">
        <v>762</v>
      </c>
      <c r="B90" s="450"/>
      <c r="C90" s="399">
        <v>150000</v>
      </c>
    </row>
    <row r="91" spans="1:3" ht="15.75" customHeight="1">
      <c r="A91" s="452" t="s">
        <v>766</v>
      </c>
      <c r="B91" s="450"/>
      <c r="C91" s="399">
        <v>150000</v>
      </c>
    </row>
    <row r="92" spans="1:3" ht="15.75" customHeight="1">
      <c r="A92" s="452" t="s">
        <v>767</v>
      </c>
      <c r="B92" s="450"/>
      <c r="C92" s="399">
        <v>150000</v>
      </c>
    </row>
    <row r="93" spans="1:3" ht="15.75">
      <c r="A93" s="397"/>
      <c r="B93" s="397"/>
      <c r="C93" s="397"/>
    </row>
    <row r="94" spans="1:3" ht="15.75" customHeight="1">
      <c r="A94" s="449" t="s">
        <v>782</v>
      </c>
      <c r="B94" s="450"/>
      <c r="C94" s="450"/>
    </row>
    <row r="95" spans="1:3" ht="15.75" customHeight="1">
      <c r="A95" s="449" t="s">
        <v>756</v>
      </c>
      <c r="B95" s="451"/>
      <c r="C95" s="398">
        <v>618600</v>
      </c>
    </row>
    <row r="96" spans="1:3" ht="15.75" customHeight="1">
      <c r="A96" s="452" t="s">
        <v>760</v>
      </c>
      <c r="B96" s="450"/>
      <c r="C96" s="399">
        <v>100</v>
      </c>
    </row>
    <row r="97" spans="1:3" ht="15.75" customHeight="1">
      <c r="A97" s="452" t="s">
        <v>762</v>
      </c>
      <c r="B97" s="450"/>
      <c r="C97" s="399">
        <v>100</v>
      </c>
    </row>
    <row r="98" spans="1:3" ht="15.75">
      <c r="A98" s="452" t="s">
        <v>771</v>
      </c>
      <c r="B98" s="450"/>
      <c r="C98" s="399">
        <v>618500</v>
      </c>
    </row>
    <row r="99" spans="1:3" ht="15.75" customHeight="1">
      <c r="A99" s="452" t="s">
        <v>772</v>
      </c>
      <c r="B99" s="450"/>
      <c r="C99" s="399">
        <v>618500</v>
      </c>
    </row>
    <row r="100" spans="1:3" ht="12.75" customHeight="1">
      <c r="A100" s="397"/>
      <c r="B100" s="397"/>
      <c r="C100" s="397"/>
    </row>
    <row r="101" spans="1:3" ht="15.75" customHeight="1">
      <c r="A101" s="449" t="s">
        <v>783</v>
      </c>
      <c r="B101" s="450"/>
      <c r="C101" s="450"/>
    </row>
    <row r="102" spans="1:3" ht="15.75" customHeight="1">
      <c r="A102" s="449" t="s">
        <v>756</v>
      </c>
      <c r="B102" s="451"/>
      <c r="C102" s="398">
        <v>374134</v>
      </c>
    </row>
    <row r="103" spans="1:3" ht="15.75">
      <c r="A103" s="452" t="s">
        <v>771</v>
      </c>
      <c r="B103" s="450"/>
      <c r="C103" s="399">
        <v>374134</v>
      </c>
    </row>
    <row r="104" spans="1:3" ht="15.75" customHeight="1">
      <c r="A104" s="452" t="s">
        <v>772</v>
      </c>
      <c r="B104" s="450"/>
      <c r="C104" s="399">
        <v>374134</v>
      </c>
    </row>
    <row r="105" spans="1:3" ht="12.75" customHeight="1">
      <c r="A105" s="397"/>
      <c r="B105" s="397"/>
      <c r="C105" s="397"/>
    </row>
    <row r="106" spans="1:3" ht="15.75" customHeight="1">
      <c r="A106" s="449" t="s">
        <v>784</v>
      </c>
      <c r="B106" s="450"/>
      <c r="C106" s="450"/>
    </row>
    <row r="107" spans="1:3" ht="15.75" customHeight="1">
      <c r="A107" s="449" t="s">
        <v>756</v>
      </c>
      <c r="B107" s="451"/>
      <c r="C107" s="398">
        <v>90</v>
      </c>
    </row>
    <row r="108" spans="1:3" ht="15.75">
      <c r="A108" s="452" t="s">
        <v>771</v>
      </c>
      <c r="B108" s="450"/>
      <c r="C108" s="399">
        <v>90</v>
      </c>
    </row>
    <row r="109" spans="1:3" ht="15.75" customHeight="1">
      <c r="A109" s="452" t="s">
        <v>772</v>
      </c>
      <c r="B109" s="450"/>
      <c r="C109" s="399">
        <v>90</v>
      </c>
    </row>
    <row r="110" spans="1:3" ht="15.75" customHeight="1">
      <c r="A110" s="452" t="s">
        <v>773</v>
      </c>
      <c r="B110" s="450"/>
      <c r="C110" s="399">
        <v>90</v>
      </c>
    </row>
    <row r="111" spans="1:3" ht="13.5" customHeight="1">
      <c r="A111" s="397"/>
      <c r="B111" s="397"/>
      <c r="C111" s="397"/>
    </row>
    <row r="112" spans="1:3" ht="15.75" customHeight="1">
      <c r="A112" s="449" t="s">
        <v>785</v>
      </c>
      <c r="B112" s="450"/>
      <c r="C112" s="450"/>
    </row>
    <row r="113" spans="1:3" ht="15.75" customHeight="1">
      <c r="A113" s="449" t="s">
        <v>756</v>
      </c>
      <c r="B113" s="451"/>
      <c r="C113" s="405">
        <v>372681</v>
      </c>
    </row>
    <row r="114" spans="1:3" ht="15.75" customHeight="1">
      <c r="A114" s="452" t="s">
        <v>760</v>
      </c>
      <c r="B114" s="450"/>
      <c r="C114" s="404">
        <v>372681</v>
      </c>
    </row>
    <row r="115" spans="1:3" ht="15.75" customHeight="1">
      <c r="A115" s="452" t="s">
        <v>762</v>
      </c>
      <c r="B115" s="450"/>
      <c r="C115" s="404">
        <v>372681</v>
      </c>
    </row>
    <row r="116" spans="1:3" ht="15.75" customHeight="1">
      <c r="A116" s="452" t="s">
        <v>763</v>
      </c>
      <c r="B116" s="450"/>
      <c r="C116" s="404">
        <v>372681</v>
      </c>
    </row>
    <row r="117" spans="1:3" ht="14.25" customHeight="1">
      <c r="A117" s="397"/>
      <c r="B117" s="397"/>
      <c r="C117" s="397"/>
    </row>
    <row r="118" spans="1:3" ht="15.75" customHeight="1">
      <c r="A118" s="449" t="s">
        <v>786</v>
      </c>
      <c r="B118" s="450"/>
      <c r="C118" s="450"/>
    </row>
    <row r="119" spans="1:3" ht="15.75" customHeight="1">
      <c r="A119" s="449" t="s">
        <v>756</v>
      </c>
      <c r="B119" s="451"/>
      <c r="C119" s="398">
        <v>2946122</v>
      </c>
    </row>
    <row r="120" spans="1:3" ht="15.75" customHeight="1">
      <c r="A120" s="452" t="s">
        <v>757</v>
      </c>
      <c r="B120" s="450"/>
      <c r="C120" s="399">
        <v>2475974</v>
      </c>
    </row>
    <row r="121" spans="1:3" ht="15.75" customHeight="1">
      <c r="A121" s="452" t="s">
        <v>758</v>
      </c>
      <c r="B121" s="450"/>
      <c r="C121" s="399">
        <v>1770732</v>
      </c>
    </row>
    <row r="122" spans="1:3" ht="15.75" customHeight="1">
      <c r="A122" s="452" t="s">
        <v>759</v>
      </c>
      <c r="B122" s="450"/>
      <c r="C122" s="399">
        <v>705242</v>
      </c>
    </row>
    <row r="123" spans="1:3" ht="15.75" customHeight="1">
      <c r="A123" s="452" t="s">
        <v>760</v>
      </c>
      <c r="B123" s="450"/>
      <c r="C123" s="399">
        <v>360358</v>
      </c>
    </row>
    <row r="124" spans="1:3" ht="15.75" customHeight="1">
      <c r="A124" s="452" t="s">
        <v>761</v>
      </c>
      <c r="B124" s="450"/>
      <c r="C124" s="399">
        <v>6380</v>
      </c>
    </row>
    <row r="125" spans="1:3" ht="15.75" customHeight="1">
      <c r="A125" s="452" t="s">
        <v>762</v>
      </c>
      <c r="B125" s="450"/>
      <c r="C125" s="399">
        <v>200236</v>
      </c>
    </row>
    <row r="126" spans="1:3" ht="30" customHeight="1">
      <c r="A126" s="452" t="s">
        <v>764</v>
      </c>
      <c r="B126" s="450"/>
      <c r="C126" s="399">
        <v>125542</v>
      </c>
    </row>
    <row r="127" spans="1:3" ht="15.75" customHeight="1">
      <c r="A127" s="452" t="s">
        <v>765</v>
      </c>
      <c r="B127" s="450"/>
      <c r="C127" s="399">
        <v>28200</v>
      </c>
    </row>
    <row r="128" spans="1:3" ht="15.75" customHeight="1">
      <c r="A128" s="452" t="s">
        <v>768</v>
      </c>
      <c r="B128" s="450"/>
      <c r="C128" s="399">
        <v>109790</v>
      </c>
    </row>
    <row r="129" spans="1:3" ht="15.75" customHeight="1">
      <c r="A129" s="452" t="s">
        <v>769</v>
      </c>
      <c r="B129" s="450"/>
      <c r="C129" s="399">
        <v>21500</v>
      </c>
    </row>
    <row r="130" spans="1:3" ht="15.75" customHeight="1">
      <c r="A130" s="452" t="s">
        <v>770</v>
      </c>
      <c r="B130" s="450"/>
      <c r="C130" s="399">
        <v>88290</v>
      </c>
    </row>
    <row r="131" spans="1:3" ht="9" customHeight="1">
      <c r="A131" s="397"/>
      <c r="B131" s="397"/>
      <c r="C131" s="397"/>
    </row>
    <row r="132" spans="1:3" ht="15.75" customHeight="1">
      <c r="A132" s="449" t="s">
        <v>787</v>
      </c>
      <c r="B132" s="450"/>
      <c r="C132" s="450"/>
    </row>
    <row r="133" spans="1:3" ht="15.75" customHeight="1">
      <c r="A133" s="449" t="s">
        <v>756</v>
      </c>
      <c r="B133" s="451"/>
      <c r="C133" s="398">
        <v>2642406</v>
      </c>
    </row>
    <row r="134" spans="1:3" ht="15.75" customHeight="1">
      <c r="A134" s="452" t="s">
        <v>757</v>
      </c>
      <c r="B134" s="450"/>
      <c r="C134" s="399">
        <v>2314455</v>
      </c>
    </row>
    <row r="135" spans="1:3" ht="15.75" customHeight="1">
      <c r="A135" s="452" t="s">
        <v>758</v>
      </c>
      <c r="B135" s="450"/>
      <c r="C135" s="399">
        <v>1644601</v>
      </c>
    </row>
    <row r="136" spans="1:3" ht="15.75" customHeight="1">
      <c r="A136" s="452" t="s">
        <v>759</v>
      </c>
      <c r="B136" s="450"/>
      <c r="C136" s="399">
        <v>669854</v>
      </c>
    </row>
    <row r="137" spans="1:3" ht="15.75" customHeight="1">
      <c r="A137" s="452" t="s">
        <v>760</v>
      </c>
      <c r="B137" s="450"/>
      <c r="C137" s="399">
        <v>283711</v>
      </c>
    </row>
    <row r="138" spans="1:3" ht="15.75" customHeight="1">
      <c r="A138" s="452" t="s">
        <v>761</v>
      </c>
      <c r="B138" s="450"/>
      <c r="C138" s="399">
        <v>4310</v>
      </c>
    </row>
    <row r="139" spans="1:3" ht="15.75" customHeight="1">
      <c r="A139" s="452" t="s">
        <v>762</v>
      </c>
      <c r="B139" s="450"/>
      <c r="C139" s="399">
        <v>133341</v>
      </c>
    </row>
    <row r="140" spans="1:3" ht="30" customHeight="1">
      <c r="A140" s="452" t="s">
        <v>764</v>
      </c>
      <c r="B140" s="450"/>
      <c r="C140" s="399">
        <v>117860</v>
      </c>
    </row>
    <row r="141" spans="1:3" ht="15.75" customHeight="1">
      <c r="A141" s="452" t="s">
        <v>765</v>
      </c>
      <c r="B141" s="450"/>
      <c r="C141" s="399">
        <v>28200</v>
      </c>
    </row>
    <row r="142" spans="1:3" ht="15.75" customHeight="1">
      <c r="A142" s="452" t="s">
        <v>768</v>
      </c>
      <c r="B142" s="450"/>
      <c r="C142" s="399">
        <v>44240</v>
      </c>
    </row>
    <row r="143" spans="1:3" ht="15.75" customHeight="1">
      <c r="A143" s="452" t="s">
        <v>770</v>
      </c>
      <c r="B143" s="450"/>
      <c r="C143" s="399">
        <v>44240</v>
      </c>
    </row>
    <row r="144" spans="1:3" ht="15.75" customHeight="1">
      <c r="A144" s="449" t="s">
        <v>788</v>
      </c>
      <c r="B144" s="450"/>
      <c r="C144" s="450"/>
    </row>
    <row r="145" spans="1:3" ht="15.75" customHeight="1">
      <c r="A145" s="449" t="s">
        <v>756</v>
      </c>
      <c r="B145" s="451"/>
      <c r="C145" s="398">
        <v>298942</v>
      </c>
    </row>
    <row r="146" spans="1:3" ht="15.75" customHeight="1">
      <c r="A146" s="452" t="s">
        <v>757</v>
      </c>
      <c r="B146" s="450"/>
      <c r="C146" s="399">
        <v>158987</v>
      </c>
    </row>
    <row r="147" spans="1:3" ht="15.75" customHeight="1">
      <c r="A147" s="452" t="s">
        <v>758</v>
      </c>
      <c r="B147" s="450"/>
      <c r="C147" s="399">
        <v>124082</v>
      </c>
    </row>
    <row r="148" spans="1:3" ht="15.75" customHeight="1">
      <c r="A148" s="452" t="s">
        <v>759</v>
      </c>
      <c r="B148" s="450"/>
      <c r="C148" s="399">
        <v>34905</v>
      </c>
    </row>
    <row r="149" spans="1:3" ht="15.75" customHeight="1">
      <c r="A149" s="452" t="s">
        <v>760</v>
      </c>
      <c r="B149" s="450"/>
      <c r="C149" s="399">
        <v>74405</v>
      </c>
    </row>
    <row r="150" spans="1:3" ht="15.75" customHeight="1">
      <c r="A150" s="452" t="s">
        <v>761</v>
      </c>
      <c r="B150" s="450"/>
      <c r="C150" s="399">
        <v>1750</v>
      </c>
    </row>
    <row r="151" spans="1:3" ht="15.75" customHeight="1">
      <c r="A151" s="452" t="s">
        <v>762</v>
      </c>
      <c r="B151" s="450"/>
      <c r="C151" s="399">
        <v>66895</v>
      </c>
    </row>
    <row r="152" spans="1:3" ht="30" customHeight="1">
      <c r="A152" s="452" t="s">
        <v>764</v>
      </c>
      <c r="B152" s="450"/>
      <c r="C152" s="399">
        <v>5760</v>
      </c>
    </row>
    <row r="153" spans="1:3" ht="15.75" customHeight="1">
      <c r="A153" s="452" t="s">
        <v>768</v>
      </c>
      <c r="B153" s="450"/>
      <c r="C153" s="399">
        <v>65550</v>
      </c>
    </row>
    <row r="154" spans="1:3" ht="15.75" customHeight="1">
      <c r="A154" s="452" t="s">
        <v>769</v>
      </c>
      <c r="B154" s="450"/>
      <c r="C154" s="399">
        <v>21500</v>
      </c>
    </row>
    <row r="155" spans="1:3" ht="15.75" customHeight="1">
      <c r="A155" s="452" t="s">
        <v>770</v>
      </c>
      <c r="B155" s="450"/>
      <c r="C155" s="399">
        <v>44050</v>
      </c>
    </row>
    <row r="156" spans="1:3" ht="15.75">
      <c r="A156" s="397"/>
      <c r="B156" s="397"/>
      <c r="C156" s="397"/>
    </row>
    <row r="157" spans="1:3" ht="15.75" customHeight="1">
      <c r="A157" s="449" t="s">
        <v>789</v>
      </c>
      <c r="B157" s="450"/>
      <c r="C157" s="450"/>
    </row>
    <row r="158" spans="1:3" ht="15.75" customHeight="1">
      <c r="A158" s="449" t="s">
        <v>756</v>
      </c>
      <c r="B158" s="451"/>
      <c r="C158" s="398">
        <v>4774</v>
      </c>
    </row>
    <row r="159" spans="1:3" ht="15.75" customHeight="1">
      <c r="A159" s="452" t="s">
        <v>757</v>
      </c>
      <c r="B159" s="450"/>
      <c r="C159" s="399">
        <v>2532</v>
      </c>
    </row>
    <row r="160" spans="1:3" ht="15.75" customHeight="1">
      <c r="A160" s="452" t="s">
        <v>758</v>
      </c>
      <c r="B160" s="450"/>
      <c r="C160" s="399">
        <v>2049</v>
      </c>
    </row>
    <row r="161" spans="1:3" ht="15.75" customHeight="1">
      <c r="A161" s="452" t="s">
        <v>759</v>
      </c>
      <c r="B161" s="450"/>
      <c r="C161" s="399">
        <v>483</v>
      </c>
    </row>
    <row r="162" spans="1:3" ht="15.75" customHeight="1">
      <c r="A162" s="452" t="s">
        <v>760</v>
      </c>
      <c r="B162" s="450"/>
      <c r="C162" s="399">
        <v>2242</v>
      </c>
    </row>
    <row r="163" spans="1:3" ht="15.75" customHeight="1">
      <c r="A163" s="452" t="s">
        <v>761</v>
      </c>
      <c r="B163" s="450"/>
      <c r="C163" s="399">
        <v>320</v>
      </c>
    </row>
    <row r="164" spans="1:3" ht="30" customHeight="1">
      <c r="A164" s="452" t="s">
        <v>764</v>
      </c>
      <c r="B164" s="450"/>
      <c r="C164" s="399">
        <v>1922</v>
      </c>
    </row>
    <row r="165" spans="1:3" ht="15.75">
      <c r="A165" s="397"/>
      <c r="B165" s="397"/>
      <c r="C165" s="397"/>
    </row>
    <row r="166" spans="1:3" ht="15.75" customHeight="1">
      <c r="A166" s="449" t="s">
        <v>790</v>
      </c>
      <c r="B166" s="450"/>
      <c r="C166" s="450"/>
    </row>
    <row r="167" spans="1:3" ht="15.75" customHeight="1">
      <c r="A167" s="449" t="s">
        <v>756</v>
      </c>
      <c r="B167" s="451"/>
      <c r="C167" s="398">
        <v>2057486</v>
      </c>
    </row>
    <row r="168" spans="1:3" ht="15.75" customHeight="1">
      <c r="A168" s="452" t="s">
        <v>757</v>
      </c>
      <c r="B168" s="450"/>
      <c r="C168" s="399">
        <v>193341</v>
      </c>
    </row>
    <row r="169" spans="1:3" ht="15.75" customHeight="1">
      <c r="A169" s="452" t="s">
        <v>758</v>
      </c>
      <c r="B169" s="450"/>
      <c r="C169" s="399">
        <v>149207</v>
      </c>
    </row>
    <row r="170" spans="1:3" ht="15.75" customHeight="1">
      <c r="A170" s="452" t="s">
        <v>759</v>
      </c>
      <c r="B170" s="450"/>
      <c r="C170" s="399">
        <v>44134</v>
      </c>
    </row>
    <row r="171" spans="1:3" ht="15.75" customHeight="1">
      <c r="A171" s="452" t="s">
        <v>760</v>
      </c>
      <c r="B171" s="450"/>
      <c r="C171" s="399">
        <v>444109</v>
      </c>
    </row>
    <row r="172" spans="1:3" ht="15.75" customHeight="1">
      <c r="A172" s="452" t="s">
        <v>761</v>
      </c>
      <c r="B172" s="450"/>
      <c r="C172" s="399">
        <v>6100</v>
      </c>
    </row>
    <row r="173" spans="1:3" ht="15.75" customHeight="1">
      <c r="A173" s="452" t="s">
        <v>762</v>
      </c>
      <c r="B173" s="450"/>
      <c r="C173" s="399">
        <v>382059</v>
      </c>
    </row>
    <row r="174" spans="1:3" ht="30" customHeight="1">
      <c r="A174" s="452" t="s">
        <v>764</v>
      </c>
      <c r="B174" s="450"/>
      <c r="C174" s="399">
        <v>35900</v>
      </c>
    </row>
    <row r="175" spans="1:3" ht="15.75" customHeight="1">
      <c r="A175" s="452" t="s">
        <v>765</v>
      </c>
      <c r="B175" s="450"/>
      <c r="C175" s="399">
        <v>20050</v>
      </c>
    </row>
    <row r="176" spans="1:3" ht="15.75" customHeight="1">
      <c r="A176" s="452" t="s">
        <v>791</v>
      </c>
      <c r="B176" s="450"/>
      <c r="C176" s="399">
        <v>1365990</v>
      </c>
    </row>
    <row r="177" spans="1:3" ht="15.75" customHeight="1">
      <c r="A177" s="452" t="s">
        <v>792</v>
      </c>
      <c r="B177" s="450"/>
      <c r="C177" s="399">
        <v>59020</v>
      </c>
    </row>
    <row r="178" spans="1:3" ht="30" customHeight="1">
      <c r="A178" s="452" t="s">
        <v>793</v>
      </c>
      <c r="B178" s="450"/>
      <c r="C178" s="399">
        <v>1306970</v>
      </c>
    </row>
    <row r="179" spans="1:3" ht="15.75" customHeight="1">
      <c r="A179" s="452" t="s">
        <v>768</v>
      </c>
      <c r="B179" s="450"/>
      <c r="C179" s="399">
        <v>51936</v>
      </c>
    </row>
    <row r="180" spans="1:3" ht="15.75" customHeight="1">
      <c r="A180" s="452" t="s">
        <v>769</v>
      </c>
      <c r="B180" s="450"/>
      <c r="C180" s="399">
        <v>2786</v>
      </c>
    </row>
    <row r="181" spans="1:3" ht="15.75" customHeight="1">
      <c r="A181" s="452" t="s">
        <v>770</v>
      </c>
      <c r="B181" s="450"/>
      <c r="C181" s="399">
        <v>49150</v>
      </c>
    </row>
    <row r="182" spans="1:3" ht="15.75">
      <c r="A182" s="452" t="s">
        <v>771</v>
      </c>
      <c r="B182" s="450"/>
      <c r="C182" s="399">
        <v>2110</v>
      </c>
    </row>
    <row r="183" spans="1:3" ht="15.75" customHeight="1">
      <c r="A183" s="452" t="s">
        <v>772</v>
      </c>
      <c r="B183" s="450"/>
      <c r="C183" s="399">
        <v>2110</v>
      </c>
    </row>
    <row r="184" spans="1:3" ht="15.75">
      <c r="A184" s="397"/>
      <c r="B184" s="397"/>
      <c r="C184" s="397"/>
    </row>
    <row r="185" spans="1:3" ht="15.75" customHeight="1">
      <c r="A185" s="449" t="s">
        <v>794</v>
      </c>
      <c r="B185" s="450"/>
      <c r="C185" s="450"/>
    </row>
    <row r="186" spans="1:3" ht="15.75" customHeight="1">
      <c r="A186" s="449" t="s">
        <v>756</v>
      </c>
      <c r="B186" s="451"/>
      <c r="C186" s="398">
        <v>278500</v>
      </c>
    </row>
    <row r="187" spans="1:3" ht="15.75" customHeight="1">
      <c r="A187" s="452" t="s">
        <v>760</v>
      </c>
      <c r="B187" s="450"/>
      <c r="C187" s="399">
        <v>248500</v>
      </c>
    </row>
    <row r="188" spans="1:3" ht="15.75" customHeight="1">
      <c r="A188" s="452" t="s">
        <v>762</v>
      </c>
      <c r="B188" s="450"/>
      <c r="C188" s="399">
        <v>243600</v>
      </c>
    </row>
    <row r="189" spans="1:3" ht="30" customHeight="1">
      <c r="A189" s="452" t="s">
        <v>764</v>
      </c>
      <c r="B189" s="450"/>
      <c r="C189" s="399">
        <v>4900</v>
      </c>
    </row>
    <row r="190" spans="1:3" ht="15.75" customHeight="1">
      <c r="A190" s="452" t="s">
        <v>768</v>
      </c>
      <c r="B190" s="450"/>
      <c r="C190" s="399">
        <v>30000</v>
      </c>
    </row>
    <row r="191" spans="1:3" ht="15.75" customHeight="1">
      <c r="A191" s="452" t="s">
        <v>770</v>
      </c>
      <c r="B191" s="450"/>
      <c r="C191" s="399">
        <v>30000</v>
      </c>
    </row>
    <row r="192" spans="1:3" ht="15.75">
      <c r="A192" s="397"/>
      <c r="B192" s="397"/>
      <c r="C192" s="397"/>
    </row>
    <row r="193" spans="1:3" ht="15.75" customHeight="1">
      <c r="A193" s="449" t="s">
        <v>795</v>
      </c>
      <c r="B193" s="450"/>
      <c r="C193" s="450"/>
    </row>
    <row r="194" spans="1:3" ht="15.75" customHeight="1">
      <c r="A194" s="449" t="s">
        <v>756</v>
      </c>
      <c r="B194" s="451"/>
      <c r="C194" s="398">
        <v>1306970</v>
      </c>
    </row>
    <row r="195" spans="1:3" ht="15.75" customHeight="1">
      <c r="A195" s="452" t="s">
        <v>791</v>
      </c>
      <c r="B195" s="450"/>
      <c r="C195" s="399">
        <v>1306970</v>
      </c>
    </row>
    <row r="196" spans="1:3" ht="30" customHeight="1">
      <c r="A196" s="452" t="s">
        <v>793</v>
      </c>
      <c r="B196" s="450"/>
      <c r="C196" s="399">
        <v>1306970</v>
      </c>
    </row>
    <row r="197" spans="1:3" ht="15.75">
      <c r="A197" s="397"/>
      <c r="B197" s="397"/>
      <c r="C197" s="397"/>
    </row>
    <row r="198" spans="1:3" ht="15.75" customHeight="1">
      <c r="A198" s="449" t="s">
        <v>796</v>
      </c>
      <c r="B198" s="450"/>
      <c r="C198" s="450"/>
    </row>
    <row r="199" spans="1:3" ht="15.75" customHeight="1">
      <c r="A199" s="449" t="s">
        <v>756</v>
      </c>
      <c r="B199" s="451"/>
      <c r="C199" s="398">
        <v>350808</v>
      </c>
    </row>
    <row r="200" spans="1:3" ht="15.75" customHeight="1">
      <c r="A200" s="452" t="s">
        <v>757</v>
      </c>
      <c r="B200" s="450"/>
      <c r="C200" s="399">
        <v>193341</v>
      </c>
    </row>
    <row r="201" spans="1:3" ht="15.75" customHeight="1">
      <c r="A201" s="452" t="s">
        <v>758</v>
      </c>
      <c r="B201" s="450"/>
      <c r="C201" s="399">
        <v>149207</v>
      </c>
    </row>
    <row r="202" spans="1:3" ht="15.75" customHeight="1">
      <c r="A202" s="452" t="s">
        <v>759</v>
      </c>
      <c r="B202" s="450"/>
      <c r="C202" s="399">
        <v>44134</v>
      </c>
    </row>
    <row r="203" spans="1:3" ht="15.75" customHeight="1">
      <c r="A203" s="452" t="s">
        <v>760</v>
      </c>
      <c r="B203" s="450"/>
      <c r="C203" s="399">
        <v>148031</v>
      </c>
    </row>
    <row r="204" spans="1:3" ht="15.75" customHeight="1">
      <c r="A204" s="452" t="s">
        <v>761</v>
      </c>
      <c r="B204" s="450"/>
      <c r="C204" s="399">
        <v>6100</v>
      </c>
    </row>
    <row r="205" spans="1:3" ht="15.75" customHeight="1">
      <c r="A205" s="452" t="s">
        <v>762</v>
      </c>
      <c r="B205" s="450"/>
      <c r="C205" s="399">
        <v>98631</v>
      </c>
    </row>
    <row r="206" spans="1:3" ht="30" customHeight="1">
      <c r="A206" s="452" t="s">
        <v>764</v>
      </c>
      <c r="B206" s="450"/>
      <c r="C206" s="399">
        <v>31000</v>
      </c>
    </row>
    <row r="207" spans="1:3" ht="15.75" customHeight="1">
      <c r="A207" s="452" t="s">
        <v>765</v>
      </c>
      <c r="B207" s="450"/>
      <c r="C207" s="399">
        <v>12300</v>
      </c>
    </row>
    <row r="208" spans="1:3" ht="15.75" customHeight="1">
      <c r="A208" s="452" t="s">
        <v>768</v>
      </c>
      <c r="B208" s="450"/>
      <c r="C208" s="399">
        <v>9436</v>
      </c>
    </row>
    <row r="209" spans="1:3" ht="15.75" customHeight="1">
      <c r="A209" s="452" t="s">
        <v>769</v>
      </c>
      <c r="B209" s="450"/>
      <c r="C209" s="399">
        <v>2786</v>
      </c>
    </row>
    <row r="210" spans="1:3" ht="15.75" customHeight="1">
      <c r="A210" s="452" t="s">
        <v>770</v>
      </c>
      <c r="B210" s="450"/>
      <c r="C210" s="399">
        <v>6650</v>
      </c>
    </row>
    <row r="211" spans="1:3" ht="15.75">
      <c r="A211" s="397"/>
      <c r="B211" s="397"/>
      <c r="C211" s="397"/>
    </row>
    <row r="212" spans="1:3" ht="15.75" customHeight="1">
      <c r="A212" s="449" t="s">
        <v>797</v>
      </c>
      <c r="B212" s="450"/>
      <c r="C212" s="450"/>
    </row>
    <row r="213" spans="1:3" ht="15.75" customHeight="1">
      <c r="A213" s="449" t="s">
        <v>756</v>
      </c>
      <c r="B213" s="451"/>
      <c r="C213" s="398">
        <v>60078</v>
      </c>
    </row>
    <row r="214" spans="1:3" ht="15.75" customHeight="1">
      <c r="A214" s="452" t="s">
        <v>760</v>
      </c>
      <c r="B214" s="450"/>
      <c r="C214" s="399">
        <v>47578</v>
      </c>
    </row>
    <row r="215" spans="1:3" ht="15.75" customHeight="1">
      <c r="A215" s="452" t="s">
        <v>762</v>
      </c>
      <c r="B215" s="450"/>
      <c r="C215" s="399">
        <v>39828</v>
      </c>
    </row>
    <row r="216" spans="1:3" ht="15.75" customHeight="1">
      <c r="A216" s="452" t="s">
        <v>765</v>
      </c>
      <c r="B216" s="450"/>
      <c r="C216" s="399">
        <v>7750</v>
      </c>
    </row>
    <row r="217" spans="1:3" ht="15.75" customHeight="1">
      <c r="A217" s="452" t="s">
        <v>768</v>
      </c>
      <c r="B217" s="450"/>
      <c r="C217" s="399">
        <v>12500</v>
      </c>
    </row>
    <row r="218" spans="1:3" ht="15.75" customHeight="1">
      <c r="A218" s="452" t="s">
        <v>770</v>
      </c>
      <c r="B218" s="450"/>
      <c r="C218" s="399">
        <v>12500</v>
      </c>
    </row>
    <row r="219" spans="1:3" ht="15.75">
      <c r="A219" s="397"/>
      <c r="B219" s="397"/>
      <c r="C219" s="397"/>
    </row>
    <row r="220" spans="1:3" ht="15.75" customHeight="1">
      <c r="A220" s="453" t="s">
        <v>909</v>
      </c>
      <c r="B220" s="454"/>
      <c r="C220" s="454"/>
    </row>
    <row r="221" spans="1:3" ht="15.75" customHeight="1">
      <c r="A221" s="449" t="s">
        <v>756</v>
      </c>
      <c r="B221" s="451"/>
      <c r="C221" s="398">
        <v>59020</v>
      </c>
    </row>
    <row r="222" spans="1:3" ht="15.75" customHeight="1">
      <c r="A222" s="452" t="s">
        <v>791</v>
      </c>
      <c r="B222" s="450"/>
      <c r="C222" s="399">
        <v>59020</v>
      </c>
    </row>
    <row r="223" spans="1:3" ht="15.75" customHeight="1">
      <c r="A223" s="452" t="s">
        <v>792</v>
      </c>
      <c r="B223" s="450"/>
      <c r="C223" s="399">
        <v>59020</v>
      </c>
    </row>
    <row r="224" spans="1:3" ht="15.75">
      <c r="A224" s="397"/>
      <c r="B224" s="397"/>
      <c r="C224" s="397"/>
    </row>
    <row r="225" spans="1:3" ht="15.75" customHeight="1">
      <c r="A225" s="449" t="s">
        <v>798</v>
      </c>
      <c r="B225" s="450"/>
      <c r="C225" s="450"/>
    </row>
    <row r="226" spans="1:3" ht="15.75" customHeight="1">
      <c r="A226" s="449" t="s">
        <v>756</v>
      </c>
      <c r="B226" s="451"/>
      <c r="C226" s="398">
        <v>2110</v>
      </c>
    </row>
    <row r="227" spans="1:3" ht="15.75">
      <c r="A227" s="452" t="s">
        <v>771</v>
      </c>
      <c r="B227" s="450"/>
      <c r="C227" s="399">
        <v>2110</v>
      </c>
    </row>
    <row r="228" spans="1:3" ht="15.75" customHeight="1">
      <c r="A228" s="452" t="s">
        <v>772</v>
      </c>
      <c r="B228" s="450"/>
      <c r="C228" s="399">
        <v>2110</v>
      </c>
    </row>
    <row r="229" spans="1:3" ht="15.75">
      <c r="A229" s="397"/>
      <c r="B229" s="397"/>
      <c r="C229" s="397"/>
    </row>
    <row r="230" spans="1:3" ht="15.75" customHeight="1">
      <c r="A230" s="449" t="s">
        <v>799</v>
      </c>
      <c r="B230" s="450"/>
      <c r="C230" s="450"/>
    </row>
    <row r="231" spans="1:3" ht="15.75" customHeight="1">
      <c r="A231" s="449" t="s">
        <v>756</v>
      </c>
      <c r="B231" s="451"/>
      <c r="C231" s="398">
        <v>1508636</v>
      </c>
    </row>
    <row r="232" spans="1:3" ht="15.75" customHeight="1">
      <c r="A232" s="452" t="s">
        <v>760</v>
      </c>
      <c r="B232" s="450"/>
      <c r="C232" s="399">
        <v>1148565</v>
      </c>
    </row>
    <row r="233" spans="1:3" ht="15.75" customHeight="1">
      <c r="A233" s="452" t="s">
        <v>761</v>
      </c>
      <c r="B233" s="450"/>
      <c r="C233" s="399">
        <v>10765</v>
      </c>
    </row>
    <row r="234" spans="1:3" ht="15.75" customHeight="1">
      <c r="A234" s="452" t="s">
        <v>762</v>
      </c>
      <c r="B234" s="450"/>
      <c r="C234" s="399">
        <v>1137800</v>
      </c>
    </row>
    <row r="235" spans="1:3" ht="15.75" customHeight="1">
      <c r="A235" s="452" t="s">
        <v>791</v>
      </c>
      <c r="B235" s="450"/>
      <c r="C235" s="399">
        <v>300071</v>
      </c>
    </row>
    <row r="236" spans="1:3" ht="15.75" customHeight="1">
      <c r="A236" s="452" t="s">
        <v>792</v>
      </c>
      <c r="B236" s="450"/>
      <c r="C236" s="399">
        <v>300071</v>
      </c>
    </row>
    <row r="237" spans="1:3" ht="15.75" customHeight="1">
      <c r="A237" s="452" t="s">
        <v>768</v>
      </c>
      <c r="B237" s="450"/>
      <c r="C237" s="399">
        <v>60000</v>
      </c>
    </row>
    <row r="238" spans="1:3" ht="15.75" customHeight="1">
      <c r="A238" s="452" t="s">
        <v>770</v>
      </c>
      <c r="B238" s="450"/>
      <c r="C238" s="399">
        <v>60000</v>
      </c>
    </row>
    <row r="239" spans="1:3" ht="15.75" customHeight="1">
      <c r="A239" s="449" t="s">
        <v>800</v>
      </c>
      <c r="B239" s="450"/>
      <c r="C239" s="450"/>
    </row>
    <row r="240" spans="1:3" ht="15.75" customHeight="1">
      <c r="A240" s="449" t="s">
        <v>756</v>
      </c>
      <c r="B240" s="451"/>
      <c r="C240" s="398">
        <v>693200</v>
      </c>
    </row>
    <row r="241" spans="1:3" ht="15.75" customHeight="1">
      <c r="A241" s="452" t="s">
        <v>760</v>
      </c>
      <c r="B241" s="450"/>
      <c r="C241" s="399">
        <v>693200</v>
      </c>
    </row>
    <row r="242" spans="1:3" ht="15.75" customHeight="1">
      <c r="A242" s="452" t="s">
        <v>762</v>
      </c>
      <c r="B242" s="450"/>
      <c r="C242" s="399">
        <v>693200</v>
      </c>
    </row>
    <row r="243" spans="1:3" ht="15.75">
      <c r="A243" s="397"/>
      <c r="B243" s="397"/>
      <c r="C243" s="397"/>
    </row>
    <row r="244" spans="1:3" ht="15.75" customHeight="1">
      <c r="A244" s="449" t="s">
        <v>801</v>
      </c>
      <c r="B244" s="450"/>
      <c r="C244" s="450"/>
    </row>
    <row r="245" spans="1:3" ht="15.75" customHeight="1">
      <c r="A245" s="449" t="s">
        <v>756</v>
      </c>
      <c r="B245" s="451"/>
      <c r="C245" s="398">
        <v>300071</v>
      </c>
    </row>
    <row r="246" spans="1:3" ht="15.75" customHeight="1">
      <c r="A246" s="452" t="s">
        <v>791</v>
      </c>
      <c r="B246" s="450"/>
      <c r="C246" s="399">
        <v>300071</v>
      </c>
    </row>
    <row r="247" spans="1:3" ht="15.75" customHeight="1">
      <c r="A247" s="452" t="s">
        <v>792</v>
      </c>
      <c r="B247" s="450"/>
      <c r="C247" s="399">
        <v>300071</v>
      </c>
    </row>
    <row r="248" spans="1:3" ht="15.75">
      <c r="A248" s="397"/>
      <c r="B248" s="397"/>
      <c r="C248" s="397"/>
    </row>
    <row r="249" spans="1:3" ht="15.75" customHeight="1">
      <c r="A249" s="449" t="s">
        <v>802</v>
      </c>
      <c r="B249" s="450"/>
      <c r="C249" s="450"/>
    </row>
    <row r="250" spans="1:3" ht="15.75" customHeight="1">
      <c r="A250" s="449" t="s">
        <v>756</v>
      </c>
      <c r="B250" s="451"/>
      <c r="C250" s="398">
        <v>487800</v>
      </c>
    </row>
    <row r="251" spans="1:3" ht="15.75" customHeight="1">
      <c r="A251" s="452" t="s">
        <v>760</v>
      </c>
      <c r="B251" s="450"/>
      <c r="C251" s="399">
        <v>427800</v>
      </c>
    </row>
    <row r="252" spans="1:3" ht="15.75" customHeight="1">
      <c r="A252" s="452" t="s">
        <v>762</v>
      </c>
      <c r="B252" s="450"/>
      <c r="C252" s="399">
        <v>427800</v>
      </c>
    </row>
    <row r="253" spans="1:3" ht="15.75" customHeight="1">
      <c r="A253" s="452" t="s">
        <v>768</v>
      </c>
      <c r="B253" s="450"/>
      <c r="C253" s="399">
        <v>60000</v>
      </c>
    </row>
    <row r="254" spans="1:3" ht="15.75" customHeight="1">
      <c r="A254" s="452" t="s">
        <v>770</v>
      </c>
      <c r="B254" s="450"/>
      <c r="C254" s="399">
        <v>60000</v>
      </c>
    </row>
    <row r="255" spans="1:3" ht="15.75">
      <c r="A255" s="397"/>
      <c r="B255" s="397"/>
      <c r="C255" s="397"/>
    </row>
    <row r="256" spans="1:3" ht="15.75" customHeight="1">
      <c r="A256" s="449" t="s">
        <v>900</v>
      </c>
      <c r="B256" s="450"/>
      <c r="C256" s="450"/>
    </row>
    <row r="257" spans="1:3" ht="15.75" customHeight="1">
      <c r="A257" s="449" t="s">
        <v>756</v>
      </c>
      <c r="B257" s="451"/>
      <c r="C257" s="398">
        <v>27565</v>
      </c>
    </row>
    <row r="258" spans="1:3" ht="15.75" customHeight="1">
      <c r="A258" s="452" t="s">
        <v>760</v>
      </c>
      <c r="B258" s="450"/>
      <c r="C258" s="399">
        <v>27565</v>
      </c>
    </row>
    <row r="259" spans="1:3" ht="15.75" customHeight="1">
      <c r="A259" s="452" t="s">
        <v>761</v>
      </c>
      <c r="B259" s="450"/>
      <c r="C259" s="399">
        <v>10765</v>
      </c>
    </row>
    <row r="260" spans="1:3" ht="15.75" customHeight="1">
      <c r="A260" s="452" t="s">
        <v>762</v>
      </c>
      <c r="B260" s="450"/>
      <c r="C260" s="399">
        <v>16800</v>
      </c>
    </row>
    <row r="261" spans="1:3" ht="15.75">
      <c r="A261" s="397"/>
      <c r="B261" s="397"/>
      <c r="C261" s="397"/>
    </row>
    <row r="262" spans="1:3" ht="15.75" customHeight="1">
      <c r="A262" s="449" t="s">
        <v>803</v>
      </c>
      <c r="B262" s="450"/>
      <c r="C262" s="450"/>
    </row>
    <row r="263" spans="1:3" ht="15.75" customHeight="1">
      <c r="A263" s="449" t="s">
        <v>756</v>
      </c>
      <c r="B263" s="451"/>
      <c r="C263" s="405">
        <v>3713534</v>
      </c>
    </row>
    <row r="264" spans="1:3" ht="15.75" customHeight="1">
      <c r="A264" s="452" t="s">
        <v>757</v>
      </c>
      <c r="B264" s="450"/>
      <c r="C264" s="404">
        <v>676449</v>
      </c>
    </row>
    <row r="265" spans="1:3" ht="15.75" customHeight="1">
      <c r="A265" s="452" t="s">
        <v>758</v>
      </c>
      <c r="B265" s="450"/>
      <c r="C265" s="404">
        <v>522930</v>
      </c>
    </row>
    <row r="266" spans="1:3" ht="15.75" customHeight="1">
      <c r="A266" s="452" t="s">
        <v>759</v>
      </c>
      <c r="B266" s="450"/>
      <c r="C266" s="404">
        <v>153519</v>
      </c>
    </row>
    <row r="267" spans="1:3" ht="15.75" customHeight="1">
      <c r="A267" s="452" t="s">
        <v>760</v>
      </c>
      <c r="B267" s="450"/>
      <c r="C267" s="404">
        <v>1846598</v>
      </c>
    </row>
    <row r="268" spans="1:3" ht="15.75" customHeight="1">
      <c r="A268" s="452" t="s">
        <v>761</v>
      </c>
      <c r="B268" s="450"/>
      <c r="C268" s="404">
        <v>6970</v>
      </c>
    </row>
    <row r="269" spans="1:3" ht="15.75" customHeight="1">
      <c r="A269" s="452" t="s">
        <v>762</v>
      </c>
      <c r="B269" s="450"/>
      <c r="C269" s="404">
        <v>1713378</v>
      </c>
    </row>
    <row r="270" spans="1:3" ht="30" customHeight="1">
      <c r="A270" s="452" t="s">
        <v>764</v>
      </c>
      <c r="B270" s="450"/>
      <c r="C270" s="404">
        <v>110250</v>
      </c>
    </row>
    <row r="271" spans="1:3" ht="15.75" customHeight="1">
      <c r="A271" s="452" t="s">
        <v>765</v>
      </c>
      <c r="B271" s="450"/>
      <c r="C271" s="404">
        <v>16000</v>
      </c>
    </row>
    <row r="272" spans="1:3" ht="15.75" customHeight="1">
      <c r="A272" s="452" t="s">
        <v>791</v>
      </c>
      <c r="B272" s="450"/>
      <c r="C272" s="404">
        <v>311740</v>
      </c>
    </row>
    <row r="273" spans="1:3" ht="15.75" customHeight="1">
      <c r="A273" s="452" t="s">
        <v>792</v>
      </c>
      <c r="B273" s="450"/>
      <c r="C273" s="404">
        <v>311740</v>
      </c>
    </row>
    <row r="274" spans="1:3" ht="15.75" customHeight="1">
      <c r="A274" s="452" t="s">
        <v>768</v>
      </c>
      <c r="B274" s="450"/>
      <c r="C274" s="404">
        <v>878747</v>
      </c>
    </row>
    <row r="275" spans="1:3" ht="15.75" customHeight="1">
      <c r="A275" s="452" t="s">
        <v>769</v>
      </c>
      <c r="B275" s="450"/>
      <c r="C275" s="404">
        <v>22400</v>
      </c>
    </row>
    <row r="276" spans="1:3" ht="15.75" customHeight="1">
      <c r="A276" s="452" t="s">
        <v>770</v>
      </c>
      <c r="B276" s="450"/>
      <c r="C276" s="404">
        <v>856347</v>
      </c>
    </row>
    <row r="277" spans="1:3" ht="15.75">
      <c r="A277" s="397"/>
      <c r="B277" s="397"/>
      <c r="C277" s="397"/>
    </row>
    <row r="278" spans="1:3" ht="15.75" customHeight="1">
      <c r="A278" s="449" t="s">
        <v>804</v>
      </c>
      <c r="B278" s="450"/>
      <c r="C278" s="450"/>
    </row>
    <row r="279" spans="1:3" ht="15.75" customHeight="1">
      <c r="A279" s="449" t="s">
        <v>756</v>
      </c>
      <c r="B279" s="451"/>
      <c r="C279" s="405">
        <v>645047</v>
      </c>
    </row>
    <row r="280" spans="1:3" ht="15.75" customHeight="1">
      <c r="A280" s="452" t="s">
        <v>760</v>
      </c>
      <c r="B280" s="450"/>
      <c r="C280" s="404">
        <v>10000</v>
      </c>
    </row>
    <row r="281" spans="1:3" ht="15.75" customHeight="1">
      <c r="A281" s="452" t="s">
        <v>762</v>
      </c>
      <c r="B281" s="450"/>
      <c r="C281" s="404">
        <v>10000</v>
      </c>
    </row>
    <row r="282" spans="1:3" ht="15.75" customHeight="1">
      <c r="A282" s="452" t="s">
        <v>768</v>
      </c>
      <c r="B282" s="450"/>
      <c r="C282" s="404">
        <v>635047</v>
      </c>
    </row>
    <row r="283" spans="1:3" ht="15.75" customHeight="1">
      <c r="A283" s="452" t="s">
        <v>770</v>
      </c>
      <c r="B283" s="450"/>
      <c r="C283" s="404">
        <v>635047</v>
      </c>
    </row>
    <row r="284" spans="1:3" ht="15.75">
      <c r="A284" s="397"/>
      <c r="B284" s="397"/>
      <c r="C284" s="397"/>
    </row>
    <row r="285" spans="1:3" ht="15.75" customHeight="1">
      <c r="A285" s="449" t="s">
        <v>805</v>
      </c>
      <c r="B285" s="450"/>
      <c r="C285" s="450"/>
    </row>
    <row r="286" spans="1:3" ht="15.75" customHeight="1">
      <c r="A286" s="449" t="s">
        <v>756</v>
      </c>
      <c r="B286" s="451"/>
      <c r="C286" s="398">
        <v>579000</v>
      </c>
    </row>
    <row r="287" spans="1:3" ht="15.75" customHeight="1">
      <c r="A287" s="452" t="s">
        <v>760</v>
      </c>
      <c r="B287" s="450"/>
      <c r="C287" s="399">
        <v>539400</v>
      </c>
    </row>
    <row r="288" spans="1:3" ht="15.75" customHeight="1">
      <c r="A288" s="452" t="s">
        <v>762</v>
      </c>
      <c r="B288" s="450"/>
      <c r="C288" s="399">
        <v>539400</v>
      </c>
    </row>
    <row r="289" spans="1:3" ht="15.75" customHeight="1">
      <c r="A289" s="452" t="s">
        <v>768</v>
      </c>
      <c r="B289" s="450"/>
      <c r="C289" s="399">
        <v>39600</v>
      </c>
    </row>
    <row r="290" spans="1:3" ht="15.75" customHeight="1">
      <c r="A290" s="452" t="s">
        <v>770</v>
      </c>
      <c r="B290" s="450"/>
      <c r="C290" s="399">
        <v>39600</v>
      </c>
    </row>
    <row r="291" spans="1:3" ht="15.75">
      <c r="A291" s="397"/>
      <c r="B291" s="397"/>
      <c r="C291" s="397"/>
    </row>
    <row r="292" spans="1:3" ht="15.75" customHeight="1">
      <c r="A292" s="449" t="s">
        <v>806</v>
      </c>
      <c r="B292" s="450"/>
      <c r="C292" s="450"/>
    </row>
    <row r="293" spans="1:3" ht="15.75" customHeight="1">
      <c r="A293" s="449" t="s">
        <v>756</v>
      </c>
      <c r="B293" s="451"/>
      <c r="C293" s="398">
        <v>839647</v>
      </c>
    </row>
    <row r="294" spans="1:3" ht="15.75" customHeight="1">
      <c r="A294" s="452" t="s">
        <v>757</v>
      </c>
      <c r="B294" s="450"/>
      <c r="C294" s="399">
        <v>676449</v>
      </c>
    </row>
    <row r="295" spans="1:3" ht="15.75" customHeight="1">
      <c r="A295" s="452" t="s">
        <v>758</v>
      </c>
      <c r="B295" s="450"/>
      <c r="C295" s="399">
        <v>522930</v>
      </c>
    </row>
    <row r="296" spans="1:3" ht="15.75" customHeight="1">
      <c r="A296" s="452" t="s">
        <v>759</v>
      </c>
      <c r="B296" s="450"/>
      <c r="C296" s="399">
        <v>153519</v>
      </c>
    </row>
    <row r="297" spans="1:3" ht="15.75" customHeight="1">
      <c r="A297" s="452" t="s">
        <v>760</v>
      </c>
      <c r="B297" s="450"/>
      <c r="C297" s="399">
        <v>127498</v>
      </c>
    </row>
    <row r="298" spans="1:3" ht="15.75" customHeight="1">
      <c r="A298" s="452" t="s">
        <v>761</v>
      </c>
      <c r="B298" s="450"/>
      <c r="C298" s="399">
        <v>6970</v>
      </c>
    </row>
    <row r="299" spans="1:3" ht="15.75" customHeight="1">
      <c r="A299" s="452" t="s">
        <v>762</v>
      </c>
      <c r="B299" s="450"/>
      <c r="C299" s="399">
        <v>76928</v>
      </c>
    </row>
    <row r="300" spans="1:3" ht="30" customHeight="1">
      <c r="A300" s="452" t="s">
        <v>764</v>
      </c>
      <c r="B300" s="450"/>
      <c r="C300" s="399">
        <v>27600</v>
      </c>
    </row>
    <row r="301" spans="1:3" ht="15.75" customHeight="1">
      <c r="A301" s="452" t="s">
        <v>765</v>
      </c>
      <c r="B301" s="450"/>
      <c r="C301" s="399">
        <v>16000</v>
      </c>
    </row>
    <row r="302" spans="1:3" ht="15.75" customHeight="1">
      <c r="A302" s="452" t="s">
        <v>768</v>
      </c>
      <c r="B302" s="450"/>
      <c r="C302" s="399">
        <v>35700</v>
      </c>
    </row>
    <row r="303" spans="1:3" ht="15.75" customHeight="1">
      <c r="A303" s="452" t="s">
        <v>769</v>
      </c>
      <c r="B303" s="450"/>
      <c r="C303" s="399">
        <v>22400</v>
      </c>
    </row>
    <row r="304" spans="1:3" ht="15.75" customHeight="1">
      <c r="A304" s="452" t="s">
        <v>770</v>
      </c>
      <c r="B304" s="450"/>
      <c r="C304" s="399">
        <v>13300</v>
      </c>
    </row>
    <row r="305" spans="1:3" ht="15.75">
      <c r="A305" s="397"/>
      <c r="B305" s="397"/>
      <c r="C305" s="397"/>
    </row>
    <row r="306" spans="1:3" ht="15.75">
      <c r="A306" s="449" t="s">
        <v>807</v>
      </c>
      <c r="B306" s="450"/>
      <c r="C306" s="450"/>
    </row>
    <row r="307" spans="1:3" ht="15.75" customHeight="1">
      <c r="A307" s="449" t="s">
        <v>756</v>
      </c>
      <c r="B307" s="451"/>
      <c r="C307" s="398">
        <v>1073400</v>
      </c>
    </row>
    <row r="308" spans="1:3" ht="15.75" customHeight="1">
      <c r="A308" s="452" t="s">
        <v>760</v>
      </c>
      <c r="B308" s="450"/>
      <c r="C308" s="399">
        <v>938700</v>
      </c>
    </row>
    <row r="309" spans="1:3" ht="15.75" customHeight="1">
      <c r="A309" s="452" t="s">
        <v>762</v>
      </c>
      <c r="B309" s="450"/>
      <c r="C309" s="399">
        <v>856050</v>
      </c>
    </row>
    <row r="310" spans="1:3" ht="30" customHeight="1">
      <c r="A310" s="452" t="s">
        <v>764</v>
      </c>
      <c r="B310" s="450"/>
      <c r="C310" s="399">
        <v>82650</v>
      </c>
    </row>
    <row r="311" spans="1:3" ht="15.75" customHeight="1">
      <c r="A311" s="452" t="s">
        <v>768</v>
      </c>
      <c r="B311" s="450"/>
      <c r="C311" s="399">
        <v>134700</v>
      </c>
    </row>
    <row r="312" spans="1:3" ht="15.75" customHeight="1">
      <c r="A312" s="452" t="s">
        <v>770</v>
      </c>
      <c r="B312" s="450"/>
      <c r="C312" s="399">
        <v>134700</v>
      </c>
    </row>
    <row r="313" spans="1:3" ht="15.75">
      <c r="A313" s="397"/>
      <c r="B313" s="397"/>
      <c r="C313" s="397"/>
    </row>
    <row r="314" spans="1:3" ht="15.75" customHeight="1">
      <c r="A314" s="449" t="s">
        <v>808</v>
      </c>
      <c r="B314" s="450"/>
      <c r="C314" s="450"/>
    </row>
    <row r="315" spans="1:3" ht="15.75" customHeight="1">
      <c r="A315" s="449" t="s">
        <v>756</v>
      </c>
      <c r="B315" s="451"/>
      <c r="C315" s="398">
        <v>311740</v>
      </c>
    </row>
    <row r="316" spans="1:3" ht="15.75" customHeight="1">
      <c r="A316" s="452" t="s">
        <v>791</v>
      </c>
      <c r="B316" s="450"/>
      <c r="C316" s="399">
        <v>311740</v>
      </c>
    </row>
    <row r="317" spans="1:3" ht="15.75" customHeight="1">
      <c r="A317" s="452" t="s">
        <v>792</v>
      </c>
      <c r="B317" s="450"/>
      <c r="C317" s="399">
        <v>311740</v>
      </c>
    </row>
    <row r="318" spans="1:3" ht="15.75">
      <c r="A318" s="397"/>
      <c r="B318" s="397"/>
      <c r="C318" s="397"/>
    </row>
    <row r="319" spans="1:3" ht="15.75" customHeight="1">
      <c r="A319" s="449" t="s">
        <v>809</v>
      </c>
      <c r="B319" s="450"/>
      <c r="C319" s="450"/>
    </row>
    <row r="320" spans="1:3" ht="15.75" customHeight="1">
      <c r="A320" s="449" t="s">
        <v>756</v>
      </c>
      <c r="B320" s="451"/>
      <c r="C320" s="398">
        <v>220000</v>
      </c>
    </row>
    <row r="321" spans="1:3" ht="15.75" customHeight="1">
      <c r="A321" s="452" t="s">
        <v>760</v>
      </c>
      <c r="B321" s="450"/>
      <c r="C321" s="399">
        <v>205500</v>
      </c>
    </row>
    <row r="322" spans="1:3" ht="15.75" customHeight="1">
      <c r="A322" s="452" t="s">
        <v>762</v>
      </c>
      <c r="B322" s="450"/>
      <c r="C322" s="399">
        <v>205500</v>
      </c>
    </row>
    <row r="323" spans="1:3" ht="15.75" customHeight="1">
      <c r="A323" s="452" t="s">
        <v>768</v>
      </c>
      <c r="B323" s="450"/>
      <c r="C323" s="399">
        <v>14500</v>
      </c>
    </row>
    <row r="324" spans="1:3" ht="15.75" customHeight="1">
      <c r="A324" s="452" t="s">
        <v>770</v>
      </c>
      <c r="B324" s="450"/>
      <c r="C324" s="399">
        <v>14500</v>
      </c>
    </row>
    <row r="325" spans="1:3" ht="15.75">
      <c r="A325" s="397"/>
      <c r="B325" s="397"/>
      <c r="C325" s="397"/>
    </row>
    <row r="326" spans="1:3" ht="15.75" customHeight="1">
      <c r="A326" s="449" t="s">
        <v>810</v>
      </c>
      <c r="B326" s="450"/>
      <c r="C326" s="450"/>
    </row>
    <row r="327" spans="1:3" ht="15.75" customHeight="1">
      <c r="A327" s="449" t="s">
        <v>756</v>
      </c>
      <c r="B327" s="451"/>
      <c r="C327" s="398">
        <v>44700</v>
      </c>
    </row>
    <row r="328" spans="1:3" ht="15.75" customHeight="1">
      <c r="A328" s="452" t="s">
        <v>760</v>
      </c>
      <c r="B328" s="450"/>
      <c r="C328" s="399">
        <v>25500</v>
      </c>
    </row>
    <row r="329" spans="1:3" ht="15.75" customHeight="1">
      <c r="A329" s="452" t="s">
        <v>762</v>
      </c>
      <c r="B329" s="450"/>
      <c r="C329" s="399">
        <v>25500</v>
      </c>
    </row>
    <row r="330" spans="1:3" ht="15.75" customHeight="1">
      <c r="A330" s="452" t="s">
        <v>768</v>
      </c>
      <c r="B330" s="450"/>
      <c r="C330" s="399">
        <v>19200</v>
      </c>
    </row>
    <row r="331" spans="1:3" ht="15.75" customHeight="1">
      <c r="A331" s="452" t="s">
        <v>770</v>
      </c>
      <c r="B331" s="450"/>
      <c r="C331" s="399">
        <v>19200</v>
      </c>
    </row>
    <row r="332" spans="1:3" ht="15.75">
      <c r="A332" s="397"/>
      <c r="B332" s="397"/>
      <c r="C332" s="397"/>
    </row>
    <row r="333" spans="1:3" ht="15.75" customHeight="1">
      <c r="A333" s="449" t="s">
        <v>811</v>
      </c>
      <c r="B333" s="450"/>
      <c r="C333" s="450"/>
    </row>
    <row r="334" spans="1:3" ht="15.75" customHeight="1">
      <c r="A334" s="449" t="s">
        <v>756</v>
      </c>
      <c r="B334" s="451"/>
      <c r="C334" s="398">
        <v>122175</v>
      </c>
    </row>
    <row r="335" spans="1:3" ht="15.75" customHeight="1">
      <c r="A335" s="452" t="s">
        <v>760</v>
      </c>
      <c r="B335" s="450"/>
      <c r="C335" s="399">
        <v>7495</v>
      </c>
    </row>
    <row r="336" spans="1:3" ht="15.75" customHeight="1">
      <c r="A336" s="452" t="s">
        <v>762</v>
      </c>
      <c r="B336" s="450"/>
      <c r="C336" s="399">
        <v>6250</v>
      </c>
    </row>
    <row r="337" spans="1:3" ht="30" customHeight="1">
      <c r="A337" s="452" t="s">
        <v>764</v>
      </c>
      <c r="B337" s="450"/>
      <c r="C337" s="399">
        <v>1245</v>
      </c>
    </row>
    <row r="338" spans="1:3" ht="15.75" customHeight="1">
      <c r="A338" s="452" t="s">
        <v>812</v>
      </c>
      <c r="B338" s="450"/>
      <c r="C338" s="399">
        <v>114680</v>
      </c>
    </row>
    <row r="339" spans="1:3" ht="15.75" customHeight="1">
      <c r="A339" s="452" t="s">
        <v>813</v>
      </c>
      <c r="B339" s="450"/>
      <c r="C339" s="399">
        <v>107680</v>
      </c>
    </row>
    <row r="340" spans="1:3" ht="15.75" customHeight="1">
      <c r="A340" s="452" t="s">
        <v>814</v>
      </c>
      <c r="B340" s="450"/>
      <c r="C340" s="399">
        <v>7000</v>
      </c>
    </row>
    <row r="341" spans="1:3" ht="15.75">
      <c r="A341" s="397"/>
      <c r="B341" s="397"/>
      <c r="C341" s="397"/>
    </row>
    <row r="342" spans="1:3" ht="15.75" customHeight="1">
      <c r="A342" s="449" t="s">
        <v>815</v>
      </c>
      <c r="B342" s="450"/>
      <c r="C342" s="450"/>
    </row>
    <row r="343" spans="1:3" ht="15.75" customHeight="1">
      <c r="A343" s="449" t="s">
        <v>756</v>
      </c>
      <c r="B343" s="451"/>
      <c r="C343" s="398">
        <v>71840</v>
      </c>
    </row>
    <row r="344" spans="1:3" ht="15.75" customHeight="1">
      <c r="A344" s="452" t="s">
        <v>812</v>
      </c>
      <c r="B344" s="450"/>
      <c r="C344" s="399">
        <v>71840</v>
      </c>
    </row>
    <row r="345" spans="1:3" ht="15.75" customHeight="1">
      <c r="A345" s="452" t="s">
        <v>813</v>
      </c>
      <c r="B345" s="450"/>
      <c r="C345" s="399">
        <v>71840</v>
      </c>
    </row>
    <row r="346" spans="1:3" ht="15.75">
      <c r="A346" s="397"/>
      <c r="B346" s="397"/>
      <c r="C346" s="397"/>
    </row>
    <row r="347" spans="1:3" ht="15.75" customHeight="1">
      <c r="A347" s="449" t="s">
        <v>816</v>
      </c>
      <c r="B347" s="450"/>
      <c r="C347" s="450"/>
    </row>
    <row r="348" spans="1:3" ht="15.75" customHeight="1">
      <c r="A348" s="449" t="s">
        <v>756</v>
      </c>
      <c r="B348" s="451"/>
      <c r="C348" s="398">
        <v>10840</v>
      </c>
    </row>
    <row r="349" spans="1:3" ht="15.75" customHeight="1">
      <c r="A349" s="452" t="s">
        <v>812</v>
      </c>
      <c r="B349" s="450"/>
      <c r="C349" s="399">
        <v>10840</v>
      </c>
    </row>
    <row r="350" spans="1:3" ht="15.75" customHeight="1">
      <c r="A350" s="452" t="s">
        <v>813</v>
      </c>
      <c r="B350" s="450"/>
      <c r="C350" s="399">
        <v>10840</v>
      </c>
    </row>
    <row r="351" spans="1:3" ht="15.75">
      <c r="A351" s="397"/>
      <c r="B351" s="397"/>
      <c r="C351" s="397"/>
    </row>
    <row r="352" spans="1:3" ht="15.75" customHeight="1">
      <c r="A352" s="449" t="s">
        <v>817</v>
      </c>
      <c r="B352" s="450"/>
      <c r="C352" s="450"/>
    </row>
    <row r="353" spans="1:3" ht="15.75" customHeight="1">
      <c r="A353" s="449" t="s">
        <v>756</v>
      </c>
      <c r="B353" s="451"/>
      <c r="C353" s="398">
        <v>32000</v>
      </c>
    </row>
    <row r="354" spans="1:3" ht="15.75" customHeight="1">
      <c r="A354" s="452" t="s">
        <v>812</v>
      </c>
      <c r="B354" s="450"/>
      <c r="C354" s="399">
        <v>32000</v>
      </c>
    </row>
    <row r="355" spans="1:3" ht="15.75" customHeight="1">
      <c r="A355" s="452" t="s">
        <v>813</v>
      </c>
      <c r="B355" s="450"/>
      <c r="C355" s="399">
        <v>25000</v>
      </c>
    </row>
    <row r="356" spans="1:3" ht="15.75" customHeight="1">
      <c r="A356" s="452" t="s">
        <v>814</v>
      </c>
      <c r="B356" s="450"/>
      <c r="C356" s="399">
        <v>7000</v>
      </c>
    </row>
    <row r="357" spans="1:3" ht="15.75">
      <c r="A357" s="397"/>
      <c r="B357" s="397"/>
      <c r="C357" s="397"/>
    </row>
    <row r="358" spans="1:3" ht="15.75" customHeight="1">
      <c r="A358" s="449" t="s">
        <v>818</v>
      </c>
      <c r="B358" s="450"/>
      <c r="C358" s="450"/>
    </row>
    <row r="359" spans="1:3" ht="15.75" customHeight="1">
      <c r="A359" s="449" t="s">
        <v>756</v>
      </c>
      <c r="B359" s="451"/>
      <c r="C359" s="398">
        <v>7495</v>
      </c>
    </row>
    <row r="360" spans="1:3" ht="15.75" customHeight="1">
      <c r="A360" s="452" t="s">
        <v>760</v>
      </c>
      <c r="B360" s="450"/>
      <c r="C360" s="399">
        <v>7495</v>
      </c>
    </row>
    <row r="361" spans="1:3" ht="15.75" customHeight="1">
      <c r="A361" s="452" t="s">
        <v>762</v>
      </c>
      <c r="B361" s="450"/>
      <c r="C361" s="399">
        <v>6250</v>
      </c>
    </row>
    <row r="362" spans="1:3" ht="30" customHeight="1">
      <c r="A362" s="452" t="s">
        <v>764</v>
      </c>
      <c r="B362" s="450"/>
      <c r="C362" s="399">
        <v>1245</v>
      </c>
    </row>
    <row r="363" spans="1:3" ht="15.75">
      <c r="A363" s="397"/>
      <c r="B363" s="397"/>
      <c r="C363" s="397"/>
    </row>
    <row r="364" spans="1:3" ht="15.75" customHeight="1">
      <c r="A364" s="449" t="s">
        <v>819</v>
      </c>
      <c r="B364" s="450"/>
      <c r="C364" s="450"/>
    </row>
    <row r="365" spans="1:3" ht="15.75" customHeight="1">
      <c r="A365" s="447" t="s">
        <v>756</v>
      </c>
      <c r="B365" s="447"/>
      <c r="C365" s="405">
        <v>5592749</v>
      </c>
    </row>
    <row r="366" spans="1:3" ht="15.75" customHeight="1">
      <c r="A366" s="448" t="s">
        <v>757</v>
      </c>
      <c r="B366" s="448"/>
      <c r="C366" s="404">
        <v>2515420</v>
      </c>
    </row>
    <row r="367" spans="1:3" ht="15.75" customHeight="1">
      <c r="A367" s="448" t="s">
        <v>758</v>
      </c>
      <c r="B367" s="448"/>
      <c r="C367" s="404">
        <v>1970975</v>
      </c>
    </row>
    <row r="368" spans="1:3" ht="15.75" customHeight="1">
      <c r="A368" s="448" t="s">
        <v>759</v>
      </c>
      <c r="B368" s="448"/>
      <c r="C368" s="404">
        <v>544445</v>
      </c>
    </row>
    <row r="369" spans="1:3" ht="15.75" customHeight="1">
      <c r="A369" s="448" t="s">
        <v>760</v>
      </c>
      <c r="B369" s="448"/>
      <c r="C369" s="404">
        <v>2035085</v>
      </c>
    </row>
    <row r="370" spans="1:3" ht="15.75" customHeight="1">
      <c r="A370" s="448" t="s">
        <v>761</v>
      </c>
      <c r="B370" s="448"/>
      <c r="C370" s="404">
        <v>24946</v>
      </c>
    </row>
    <row r="371" spans="1:3" ht="15.75" customHeight="1">
      <c r="A371" s="448" t="s">
        <v>762</v>
      </c>
      <c r="B371" s="448"/>
      <c r="C371" s="404">
        <v>1497572</v>
      </c>
    </row>
    <row r="372" spans="1:3" ht="30" customHeight="1">
      <c r="A372" s="448" t="s">
        <v>764</v>
      </c>
      <c r="B372" s="448"/>
      <c r="C372" s="404">
        <v>445317</v>
      </c>
    </row>
    <row r="373" spans="1:3" ht="15.75" customHeight="1">
      <c r="A373" s="448" t="s">
        <v>820</v>
      </c>
      <c r="B373" s="448"/>
      <c r="C373" s="404">
        <v>7000</v>
      </c>
    </row>
    <row r="374" spans="1:3" ht="15.75" customHeight="1">
      <c r="A374" s="448" t="s">
        <v>765</v>
      </c>
      <c r="B374" s="448"/>
      <c r="C374" s="404">
        <v>60250</v>
      </c>
    </row>
    <row r="375" spans="1:3" ht="15.75" customHeight="1">
      <c r="A375" s="448" t="s">
        <v>791</v>
      </c>
      <c r="B375" s="448"/>
      <c r="C375" s="404">
        <v>565973</v>
      </c>
    </row>
    <row r="376" spans="1:3" ht="15.75" customHeight="1">
      <c r="A376" s="448" t="s">
        <v>792</v>
      </c>
      <c r="B376" s="448"/>
      <c r="C376" s="404">
        <v>555973</v>
      </c>
    </row>
    <row r="377" spans="1:3" ht="30" customHeight="1">
      <c r="A377" s="448" t="s">
        <v>793</v>
      </c>
      <c r="B377" s="448"/>
      <c r="C377" s="404">
        <v>10000</v>
      </c>
    </row>
    <row r="378" spans="1:3" ht="15.75" customHeight="1">
      <c r="A378" s="448" t="s">
        <v>768</v>
      </c>
      <c r="B378" s="448"/>
      <c r="C378" s="404">
        <v>462385</v>
      </c>
    </row>
    <row r="379" spans="1:3" ht="15.75" customHeight="1">
      <c r="A379" s="448" t="s">
        <v>769</v>
      </c>
      <c r="B379" s="448"/>
      <c r="C379" s="404">
        <v>24287</v>
      </c>
    </row>
    <row r="380" spans="1:3" ht="15.75" customHeight="1">
      <c r="A380" s="448" t="s">
        <v>770</v>
      </c>
      <c r="B380" s="448"/>
      <c r="C380" s="404">
        <v>438098</v>
      </c>
    </row>
    <row r="381" spans="1:3" ht="15.75" customHeight="1">
      <c r="A381" s="448" t="s">
        <v>771</v>
      </c>
      <c r="B381" s="448"/>
      <c r="C381" s="404">
        <v>13886</v>
      </c>
    </row>
    <row r="382" spans="1:3" ht="15.75" customHeight="1">
      <c r="A382" s="448" t="s">
        <v>772</v>
      </c>
      <c r="B382" s="448"/>
      <c r="C382" s="404">
        <v>13886</v>
      </c>
    </row>
    <row r="383" spans="1:3" ht="15.75">
      <c r="A383" s="397"/>
      <c r="B383" s="397"/>
      <c r="C383" s="397"/>
    </row>
    <row r="384" spans="1:3" ht="15.75" customHeight="1">
      <c r="A384" s="449" t="s">
        <v>821</v>
      </c>
      <c r="B384" s="450"/>
      <c r="C384" s="450"/>
    </row>
    <row r="385" spans="1:3" ht="15.75" customHeight="1">
      <c r="A385" s="449" t="s">
        <v>756</v>
      </c>
      <c r="B385" s="451"/>
      <c r="C385" s="398">
        <v>459187</v>
      </c>
    </row>
    <row r="386" spans="1:3" ht="15.75" customHeight="1">
      <c r="A386" s="452" t="s">
        <v>757</v>
      </c>
      <c r="B386" s="450"/>
      <c r="C386" s="399">
        <v>247852</v>
      </c>
    </row>
    <row r="387" spans="1:3" ht="15.75" customHeight="1">
      <c r="A387" s="452" t="s">
        <v>758</v>
      </c>
      <c r="B387" s="450"/>
      <c r="C387" s="399">
        <v>192088</v>
      </c>
    </row>
    <row r="388" spans="1:3" ht="15.75" customHeight="1">
      <c r="A388" s="452" t="s">
        <v>759</v>
      </c>
      <c r="B388" s="450"/>
      <c r="C388" s="399">
        <v>55764</v>
      </c>
    </row>
    <row r="389" spans="1:3" ht="15.75" customHeight="1">
      <c r="A389" s="452" t="s">
        <v>760</v>
      </c>
      <c r="B389" s="450"/>
      <c r="C389" s="399">
        <v>169185</v>
      </c>
    </row>
    <row r="390" spans="1:3" ht="15.75" customHeight="1">
      <c r="A390" s="452" t="s">
        <v>761</v>
      </c>
      <c r="B390" s="450"/>
      <c r="C390" s="399">
        <v>430</v>
      </c>
    </row>
    <row r="391" spans="1:3" ht="15.75" customHeight="1">
      <c r="A391" s="452" t="s">
        <v>762</v>
      </c>
      <c r="B391" s="450"/>
      <c r="C391" s="399">
        <v>147755</v>
      </c>
    </row>
    <row r="392" spans="1:3" ht="30" customHeight="1">
      <c r="A392" s="452" t="s">
        <v>764</v>
      </c>
      <c r="B392" s="450"/>
      <c r="C392" s="399">
        <v>14800</v>
      </c>
    </row>
    <row r="393" spans="1:3" ht="15.75" customHeight="1">
      <c r="A393" s="452" t="s">
        <v>765</v>
      </c>
      <c r="B393" s="450"/>
      <c r="C393" s="399">
        <v>6200</v>
      </c>
    </row>
    <row r="394" spans="1:3" ht="15.75" customHeight="1">
      <c r="A394" s="452" t="s">
        <v>768</v>
      </c>
      <c r="B394" s="450"/>
      <c r="C394" s="399">
        <v>42150</v>
      </c>
    </row>
    <row r="395" spans="1:3" ht="15.75" customHeight="1">
      <c r="A395" s="452" t="s">
        <v>770</v>
      </c>
      <c r="B395" s="450"/>
      <c r="C395" s="399">
        <v>42150</v>
      </c>
    </row>
    <row r="396" spans="1:3" ht="15.75">
      <c r="A396" s="397"/>
      <c r="B396" s="397"/>
      <c r="C396" s="397"/>
    </row>
    <row r="397" spans="1:3" ht="15.75" customHeight="1">
      <c r="A397" s="449" t="s">
        <v>822</v>
      </c>
      <c r="B397" s="450"/>
      <c r="C397" s="450"/>
    </row>
    <row r="398" spans="1:3" ht="15.75" customHeight="1">
      <c r="A398" s="449" t="s">
        <v>756</v>
      </c>
      <c r="B398" s="451"/>
      <c r="C398" s="398">
        <v>505620</v>
      </c>
    </row>
    <row r="399" spans="1:3" ht="15.75" customHeight="1">
      <c r="A399" s="452" t="s">
        <v>757</v>
      </c>
      <c r="B399" s="450"/>
      <c r="C399" s="399">
        <v>1230</v>
      </c>
    </row>
    <row r="400" spans="1:3" ht="15.75" customHeight="1">
      <c r="A400" s="452" t="s">
        <v>758</v>
      </c>
      <c r="B400" s="450"/>
      <c r="C400" s="399">
        <v>1000</v>
      </c>
    </row>
    <row r="401" spans="1:3" ht="15.75" customHeight="1">
      <c r="A401" s="452" t="s">
        <v>759</v>
      </c>
      <c r="B401" s="450"/>
      <c r="C401" s="399">
        <v>230</v>
      </c>
    </row>
    <row r="402" spans="1:3" ht="15.75" customHeight="1">
      <c r="A402" s="452" t="s">
        <v>760</v>
      </c>
      <c r="B402" s="450"/>
      <c r="C402" s="399">
        <v>147170</v>
      </c>
    </row>
    <row r="403" spans="1:3" ht="15.75" customHeight="1">
      <c r="A403" s="452" t="s">
        <v>761</v>
      </c>
      <c r="B403" s="450"/>
      <c r="C403" s="399">
        <v>3000</v>
      </c>
    </row>
    <row r="404" spans="1:3" ht="15.75" customHeight="1">
      <c r="A404" s="452" t="s">
        <v>762</v>
      </c>
      <c r="B404" s="450"/>
      <c r="C404" s="399">
        <v>107870</v>
      </c>
    </row>
    <row r="405" spans="1:3" ht="30" customHeight="1">
      <c r="A405" s="452" t="s">
        <v>764</v>
      </c>
      <c r="B405" s="450"/>
      <c r="C405" s="399">
        <v>36300</v>
      </c>
    </row>
    <row r="406" spans="1:3" ht="15.75" customHeight="1">
      <c r="A406" s="452" t="s">
        <v>791</v>
      </c>
      <c r="B406" s="450"/>
      <c r="C406" s="399">
        <v>357220</v>
      </c>
    </row>
    <row r="407" spans="1:3" ht="15.75" customHeight="1">
      <c r="A407" s="452" t="s">
        <v>792</v>
      </c>
      <c r="B407" s="450"/>
      <c r="C407" s="399">
        <v>357220</v>
      </c>
    </row>
    <row r="408" spans="1:3" ht="15.75">
      <c r="A408" s="397"/>
      <c r="B408" s="397"/>
      <c r="C408" s="397"/>
    </row>
    <row r="409" spans="1:3" ht="15.75" customHeight="1">
      <c r="A409" s="449" t="s">
        <v>901</v>
      </c>
      <c r="B409" s="450"/>
      <c r="C409" s="450"/>
    </row>
    <row r="410" spans="1:3" ht="15.75" customHeight="1">
      <c r="A410" s="449" t="s">
        <v>756</v>
      </c>
      <c r="B410" s="451"/>
      <c r="C410" s="398">
        <v>4980</v>
      </c>
    </row>
    <row r="411" spans="1:3" ht="15.75" customHeight="1">
      <c r="A411" s="452" t="s">
        <v>791</v>
      </c>
      <c r="B411" s="450"/>
      <c r="C411" s="399">
        <v>4980</v>
      </c>
    </row>
    <row r="412" spans="1:3" ht="15.75" customHeight="1">
      <c r="A412" s="452" t="s">
        <v>792</v>
      </c>
      <c r="B412" s="450"/>
      <c r="C412" s="399">
        <v>4980</v>
      </c>
    </row>
    <row r="413" spans="1:3" ht="15.75">
      <c r="A413" s="397"/>
      <c r="B413" s="397"/>
      <c r="C413" s="397"/>
    </row>
    <row r="414" spans="1:3" ht="15.75" customHeight="1">
      <c r="A414" s="449" t="s">
        <v>823</v>
      </c>
      <c r="B414" s="450"/>
      <c r="C414" s="450"/>
    </row>
    <row r="415" spans="1:3" ht="15.75" customHeight="1">
      <c r="A415" s="449" t="s">
        <v>756</v>
      </c>
      <c r="B415" s="451"/>
      <c r="C415" s="398">
        <v>873676</v>
      </c>
    </row>
    <row r="416" spans="1:3" ht="15.75" customHeight="1">
      <c r="A416" s="452" t="s">
        <v>757</v>
      </c>
      <c r="B416" s="450"/>
      <c r="C416" s="399">
        <v>471445</v>
      </c>
    </row>
    <row r="417" spans="1:3" ht="15.75" customHeight="1">
      <c r="A417" s="452" t="s">
        <v>758</v>
      </c>
      <c r="B417" s="450"/>
      <c r="C417" s="399">
        <v>365381</v>
      </c>
    </row>
    <row r="418" spans="1:3" ht="15.75" customHeight="1">
      <c r="A418" s="452" t="s">
        <v>759</v>
      </c>
      <c r="B418" s="450"/>
      <c r="C418" s="399">
        <v>106064</v>
      </c>
    </row>
    <row r="419" spans="1:3" ht="15.75" customHeight="1">
      <c r="A419" s="452" t="s">
        <v>760</v>
      </c>
      <c r="B419" s="450"/>
      <c r="C419" s="399">
        <v>165001</v>
      </c>
    </row>
    <row r="420" spans="1:3" ht="15.75" customHeight="1">
      <c r="A420" s="452" t="s">
        <v>761</v>
      </c>
      <c r="B420" s="450"/>
      <c r="C420" s="399">
        <v>6060</v>
      </c>
    </row>
    <row r="421" spans="1:3" ht="15.75" customHeight="1">
      <c r="A421" s="452" t="s">
        <v>762</v>
      </c>
      <c r="B421" s="450"/>
      <c r="C421" s="399">
        <v>132534</v>
      </c>
    </row>
    <row r="422" spans="1:3" ht="30" customHeight="1">
      <c r="A422" s="452" t="s">
        <v>764</v>
      </c>
      <c r="B422" s="450"/>
      <c r="C422" s="399">
        <v>19407</v>
      </c>
    </row>
    <row r="423" spans="1:3" ht="15.75" customHeight="1">
      <c r="A423" s="452" t="s">
        <v>820</v>
      </c>
      <c r="B423" s="450"/>
      <c r="C423" s="399">
        <v>7000</v>
      </c>
    </row>
    <row r="424" spans="1:3" ht="15.75" customHeight="1">
      <c r="A424" s="452" t="s">
        <v>768</v>
      </c>
      <c r="B424" s="450"/>
      <c r="C424" s="399">
        <v>237230</v>
      </c>
    </row>
    <row r="425" spans="1:3" ht="15.75" customHeight="1">
      <c r="A425" s="452" t="s">
        <v>769</v>
      </c>
      <c r="B425" s="450"/>
      <c r="C425" s="399">
        <v>700</v>
      </c>
    </row>
    <row r="426" spans="1:3" ht="15.75" customHeight="1">
      <c r="A426" s="452" t="s">
        <v>770</v>
      </c>
      <c r="B426" s="450"/>
      <c r="C426" s="399">
        <v>236530</v>
      </c>
    </row>
    <row r="427" spans="1:3" ht="15.75">
      <c r="A427" s="397"/>
      <c r="B427" s="397"/>
      <c r="C427" s="397"/>
    </row>
    <row r="428" spans="1:3" ht="15.75" customHeight="1">
      <c r="A428" s="449" t="s">
        <v>902</v>
      </c>
      <c r="B428" s="450"/>
      <c r="C428" s="450"/>
    </row>
    <row r="429" spans="1:3" ht="15.75" customHeight="1">
      <c r="A429" s="449" t="s">
        <v>756</v>
      </c>
      <c r="B429" s="451"/>
      <c r="C429" s="398">
        <v>10212</v>
      </c>
    </row>
    <row r="430" spans="1:3" ht="15.75" customHeight="1">
      <c r="A430" s="452" t="s">
        <v>757</v>
      </c>
      <c r="B430" s="450"/>
      <c r="C430" s="399">
        <v>9212</v>
      </c>
    </row>
    <row r="431" spans="1:3" ht="15.75" customHeight="1">
      <c r="A431" s="452" t="s">
        <v>758</v>
      </c>
      <c r="B431" s="450"/>
      <c r="C431" s="399">
        <v>7454</v>
      </c>
    </row>
    <row r="432" spans="1:3" ht="15.75" customHeight="1">
      <c r="A432" s="452" t="s">
        <v>759</v>
      </c>
      <c r="B432" s="450"/>
      <c r="C432" s="399">
        <v>1758</v>
      </c>
    </row>
    <row r="433" spans="1:3" ht="15.75" customHeight="1">
      <c r="A433" s="452" t="s">
        <v>760</v>
      </c>
      <c r="B433" s="450"/>
      <c r="C433" s="399">
        <v>1000</v>
      </c>
    </row>
    <row r="434" spans="1:3" ht="15.75" customHeight="1">
      <c r="A434" s="452" t="s">
        <v>761</v>
      </c>
      <c r="B434" s="450"/>
      <c r="C434" s="399">
        <v>1000</v>
      </c>
    </row>
    <row r="435" spans="1:3" ht="15.75">
      <c r="A435" s="397"/>
      <c r="B435" s="397"/>
      <c r="C435" s="397"/>
    </row>
    <row r="436" spans="1:3" ht="15.75" customHeight="1">
      <c r="A436" s="449" t="s">
        <v>824</v>
      </c>
      <c r="B436" s="450"/>
      <c r="C436" s="450"/>
    </row>
    <row r="437" spans="1:3" ht="15.75" customHeight="1">
      <c r="A437" s="449" t="s">
        <v>756</v>
      </c>
      <c r="B437" s="451"/>
      <c r="C437" s="398">
        <v>423251</v>
      </c>
    </row>
    <row r="438" spans="1:3" ht="15.75" customHeight="1">
      <c r="A438" s="452" t="s">
        <v>757</v>
      </c>
      <c r="B438" s="450"/>
      <c r="C438" s="399">
        <v>298900</v>
      </c>
    </row>
    <row r="439" spans="1:3" ht="15.75" customHeight="1">
      <c r="A439" s="452" t="s">
        <v>758</v>
      </c>
      <c r="B439" s="450"/>
      <c r="C439" s="399">
        <v>231894</v>
      </c>
    </row>
    <row r="440" spans="1:3" ht="15.75" customHeight="1">
      <c r="A440" s="452" t="s">
        <v>759</v>
      </c>
      <c r="B440" s="450"/>
      <c r="C440" s="399">
        <v>67006</v>
      </c>
    </row>
    <row r="441" spans="1:3" ht="15.75" customHeight="1">
      <c r="A441" s="452" t="s">
        <v>760</v>
      </c>
      <c r="B441" s="450"/>
      <c r="C441" s="399">
        <v>111060</v>
      </c>
    </row>
    <row r="442" spans="1:3" ht="15.75" customHeight="1">
      <c r="A442" s="452" t="s">
        <v>761</v>
      </c>
      <c r="B442" s="450"/>
      <c r="C442" s="399">
        <v>6950</v>
      </c>
    </row>
    <row r="443" spans="1:3" ht="15.75" customHeight="1">
      <c r="A443" s="452" t="s">
        <v>762</v>
      </c>
      <c r="B443" s="450"/>
      <c r="C443" s="399">
        <v>91110</v>
      </c>
    </row>
    <row r="444" spans="1:3" ht="30" customHeight="1">
      <c r="A444" s="452" t="s">
        <v>764</v>
      </c>
      <c r="B444" s="450"/>
      <c r="C444" s="399">
        <v>13000</v>
      </c>
    </row>
    <row r="445" spans="1:3" ht="15.75" customHeight="1">
      <c r="A445" s="452" t="s">
        <v>768</v>
      </c>
      <c r="B445" s="450"/>
      <c r="C445" s="399">
        <v>13291</v>
      </c>
    </row>
    <row r="446" spans="1:3" ht="15.75" customHeight="1">
      <c r="A446" s="452" t="s">
        <v>769</v>
      </c>
      <c r="B446" s="450"/>
      <c r="C446" s="399">
        <v>291</v>
      </c>
    </row>
    <row r="447" spans="1:3" ht="15.75" customHeight="1">
      <c r="A447" s="452" t="s">
        <v>770</v>
      </c>
      <c r="B447" s="450"/>
      <c r="C447" s="399">
        <v>13000</v>
      </c>
    </row>
    <row r="448" spans="1:3" ht="15.75">
      <c r="A448" s="397"/>
      <c r="B448" s="397"/>
      <c r="C448" s="397"/>
    </row>
    <row r="449" spans="1:3" ht="15.75" customHeight="1">
      <c r="A449" s="449" t="s">
        <v>825</v>
      </c>
      <c r="B449" s="450"/>
      <c r="C449" s="450"/>
    </row>
    <row r="450" spans="1:3" ht="15.75" customHeight="1">
      <c r="A450" s="449" t="s">
        <v>756</v>
      </c>
      <c r="B450" s="451"/>
      <c r="C450" s="398">
        <v>1324541</v>
      </c>
    </row>
    <row r="451" spans="1:3" ht="15.75" customHeight="1">
      <c r="A451" s="452" t="s">
        <v>757</v>
      </c>
      <c r="B451" s="450"/>
      <c r="C451" s="399">
        <v>735065</v>
      </c>
    </row>
    <row r="452" spans="1:3" ht="15.75" customHeight="1">
      <c r="A452" s="452" t="s">
        <v>758</v>
      </c>
      <c r="B452" s="450"/>
      <c r="C452" s="399">
        <v>572352</v>
      </c>
    </row>
    <row r="453" spans="1:3" ht="15.75" customHeight="1">
      <c r="A453" s="452" t="s">
        <v>759</v>
      </c>
      <c r="B453" s="450"/>
      <c r="C453" s="399">
        <v>162713</v>
      </c>
    </row>
    <row r="454" spans="1:3" ht="15.75" customHeight="1">
      <c r="A454" s="452" t="s">
        <v>760</v>
      </c>
      <c r="B454" s="450"/>
      <c r="C454" s="399">
        <v>437762</v>
      </c>
    </row>
    <row r="455" spans="1:3" ht="15.75" customHeight="1">
      <c r="A455" s="452" t="s">
        <v>761</v>
      </c>
      <c r="B455" s="450"/>
      <c r="C455" s="399">
        <v>5710</v>
      </c>
    </row>
    <row r="456" spans="1:3" ht="15.75" customHeight="1">
      <c r="A456" s="452" t="s">
        <v>762</v>
      </c>
      <c r="B456" s="450"/>
      <c r="C456" s="399">
        <v>308252</v>
      </c>
    </row>
    <row r="457" spans="1:3" ht="30" customHeight="1">
      <c r="A457" s="452" t="s">
        <v>764</v>
      </c>
      <c r="B457" s="450"/>
      <c r="C457" s="399">
        <v>103000</v>
      </c>
    </row>
    <row r="458" spans="1:3" ht="15.75" customHeight="1">
      <c r="A458" s="452" t="s">
        <v>765</v>
      </c>
      <c r="B458" s="450"/>
      <c r="C458" s="399">
        <v>20800</v>
      </c>
    </row>
    <row r="459" spans="1:3" ht="15.75" customHeight="1">
      <c r="A459" s="452" t="s">
        <v>768</v>
      </c>
      <c r="B459" s="450"/>
      <c r="C459" s="399">
        <v>151714</v>
      </c>
    </row>
    <row r="460" spans="1:3" ht="15.75" customHeight="1">
      <c r="A460" s="452" t="s">
        <v>769</v>
      </c>
      <c r="B460" s="450"/>
      <c r="C460" s="399">
        <v>15000</v>
      </c>
    </row>
    <row r="461" spans="1:3" ht="15.75" customHeight="1">
      <c r="A461" s="452" t="s">
        <v>770</v>
      </c>
      <c r="B461" s="450"/>
      <c r="C461" s="399">
        <v>136714</v>
      </c>
    </row>
    <row r="462" spans="1:3" ht="15.75">
      <c r="A462" s="397"/>
      <c r="B462" s="397"/>
      <c r="C462" s="397"/>
    </row>
    <row r="463" spans="1:3" ht="15.75" customHeight="1">
      <c r="A463" s="449" t="s">
        <v>826</v>
      </c>
      <c r="B463" s="450"/>
      <c r="C463" s="450"/>
    </row>
    <row r="464" spans="1:3" ht="15.75" customHeight="1">
      <c r="A464" s="449" t="s">
        <v>756</v>
      </c>
      <c r="B464" s="451"/>
      <c r="C464" s="405">
        <v>476460</v>
      </c>
    </row>
    <row r="465" spans="1:3" ht="15.75" customHeight="1">
      <c r="A465" s="452" t="s">
        <v>757</v>
      </c>
      <c r="B465" s="450"/>
      <c r="C465" s="404">
        <v>69777</v>
      </c>
    </row>
    <row r="466" spans="1:3" ht="15.75" customHeight="1">
      <c r="A466" s="452" t="s">
        <v>758</v>
      </c>
      <c r="B466" s="450"/>
      <c r="C466" s="404">
        <v>64754</v>
      </c>
    </row>
    <row r="467" spans="1:3" ht="15.75" customHeight="1">
      <c r="A467" s="452" t="s">
        <v>759</v>
      </c>
      <c r="B467" s="450"/>
      <c r="C467" s="404">
        <v>5023</v>
      </c>
    </row>
    <row r="468" spans="1:3" ht="15.75" customHeight="1">
      <c r="A468" s="452" t="s">
        <v>760</v>
      </c>
      <c r="B468" s="450"/>
      <c r="C468" s="404">
        <v>403683</v>
      </c>
    </row>
    <row r="469" spans="1:3" ht="15.75" customHeight="1">
      <c r="A469" s="452" t="s">
        <v>762</v>
      </c>
      <c r="B469" s="450"/>
      <c r="C469" s="404">
        <v>330385</v>
      </c>
    </row>
    <row r="470" spans="1:3" ht="30" customHeight="1">
      <c r="A470" s="452" t="s">
        <v>764</v>
      </c>
      <c r="B470" s="450"/>
      <c r="C470" s="404">
        <v>43798</v>
      </c>
    </row>
    <row r="471" spans="1:3" ht="15.75" customHeight="1">
      <c r="A471" s="452" t="s">
        <v>765</v>
      </c>
      <c r="B471" s="450"/>
      <c r="C471" s="404">
        <v>29500</v>
      </c>
    </row>
    <row r="472" spans="1:3" ht="15.75" customHeight="1">
      <c r="A472" s="452" t="s">
        <v>768</v>
      </c>
      <c r="B472" s="450"/>
      <c r="C472" s="404">
        <v>3000</v>
      </c>
    </row>
    <row r="473" spans="1:3" ht="15.75" customHeight="1">
      <c r="A473" s="452" t="s">
        <v>770</v>
      </c>
      <c r="B473" s="450"/>
      <c r="C473" s="404">
        <v>3000</v>
      </c>
    </row>
    <row r="474" spans="1:3" ht="15.75">
      <c r="A474" s="397"/>
      <c r="B474" s="397"/>
      <c r="C474" s="397"/>
    </row>
    <row r="475" spans="1:3" ht="15.75" customHeight="1">
      <c r="A475" s="449" t="s">
        <v>827</v>
      </c>
      <c r="B475" s="450"/>
      <c r="C475" s="450"/>
    </row>
    <row r="476" spans="1:3" ht="15.75" customHeight="1">
      <c r="A476" s="449" t="s">
        <v>756</v>
      </c>
      <c r="B476" s="451"/>
      <c r="C476" s="405">
        <v>89340</v>
      </c>
    </row>
    <row r="477" spans="1:3" ht="15.75" customHeight="1">
      <c r="A477" s="452" t="s">
        <v>757</v>
      </c>
      <c r="B477" s="450"/>
      <c r="C477" s="404">
        <v>86785</v>
      </c>
    </row>
    <row r="478" spans="1:3" ht="15.75" customHeight="1">
      <c r="A478" s="452" t="s">
        <v>758</v>
      </c>
      <c r="B478" s="450"/>
      <c r="C478" s="404">
        <v>68044</v>
      </c>
    </row>
    <row r="479" spans="1:3" ht="15.75" customHeight="1">
      <c r="A479" s="452" t="s">
        <v>759</v>
      </c>
      <c r="B479" s="450"/>
      <c r="C479" s="404">
        <v>18741</v>
      </c>
    </row>
    <row r="480" spans="1:3" ht="15.75" customHeight="1">
      <c r="A480" s="452" t="s">
        <v>760</v>
      </c>
      <c r="B480" s="450"/>
      <c r="C480" s="404">
        <v>2555</v>
      </c>
    </row>
    <row r="481" spans="1:3" ht="15.75" customHeight="1">
      <c r="A481" s="452" t="s">
        <v>762</v>
      </c>
      <c r="B481" s="450"/>
      <c r="C481" s="404">
        <v>2555</v>
      </c>
    </row>
    <row r="482" spans="1:3" ht="15.75">
      <c r="A482" s="397"/>
      <c r="B482" s="397"/>
      <c r="C482" s="397"/>
    </row>
    <row r="483" spans="1:3" ht="15.75" customHeight="1">
      <c r="A483" s="449" t="s">
        <v>828</v>
      </c>
      <c r="B483" s="450"/>
      <c r="C483" s="450"/>
    </row>
    <row r="484" spans="1:3" ht="15.75" customHeight="1">
      <c r="A484" s="449" t="s">
        <v>756</v>
      </c>
      <c r="B484" s="451"/>
      <c r="C484" s="398">
        <v>51226</v>
      </c>
    </row>
    <row r="485" spans="1:3" ht="15.75" customHeight="1">
      <c r="A485" s="452" t="s">
        <v>757</v>
      </c>
      <c r="B485" s="450"/>
      <c r="C485" s="399">
        <v>48371</v>
      </c>
    </row>
    <row r="486" spans="1:3" ht="15.75" customHeight="1">
      <c r="A486" s="452" t="s">
        <v>758</v>
      </c>
      <c r="B486" s="450"/>
      <c r="C486" s="399">
        <v>37572</v>
      </c>
    </row>
    <row r="487" spans="1:3" ht="15.75" customHeight="1">
      <c r="A487" s="452" t="s">
        <v>759</v>
      </c>
      <c r="B487" s="450"/>
      <c r="C487" s="399">
        <v>10799</v>
      </c>
    </row>
    <row r="488" spans="1:3" ht="15.75" customHeight="1">
      <c r="A488" s="452" t="s">
        <v>760</v>
      </c>
      <c r="B488" s="450"/>
      <c r="C488" s="399">
        <v>2855</v>
      </c>
    </row>
    <row r="489" spans="1:3" ht="15.75" customHeight="1">
      <c r="A489" s="452" t="s">
        <v>762</v>
      </c>
      <c r="B489" s="450"/>
      <c r="C489" s="399">
        <v>50</v>
      </c>
    </row>
    <row r="490" spans="1:3" ht="30" customHeight="1">
      <c r="A490" s="452" t="s">
        <v>764</v>
      </c>
      <c r="B490" s="450"/>
      <c r="C490" s="399">
        <v>2805</v>
      </c>
    </row>
    <row r="491" spans="1:3" ht="15.75">
      <c r="A491" s="397"/>
      <c r="B491" s="397"/>
      <c r="C491" s="397"/>
    </row>
    <row r="492" spans="1:3" ht="15.75" customHeight="1">
      <c r="A492" s="449" t="s">
        <v>829</v>
      </c>
      <c r="B492" s="450"/>
      <c r="C492" s="450"/>
    </row>
    <row r="493" spans="1:3" ht="15.75" customHeight="1">
      <c r="A493" s="449" t="s">
        <v>756</v>
      </c>
      <c r="B493" s="451"/>
      <c r="C493" s="398">
        <v>15516</v>
      </c>
    </row>
    <row r="494" spans="1:3" ht="15.75" customHeight="1">
      <c r="A494" s="452" t="s">
        <v>757</v>
      </c>
      <c r="B494" s="450"/>
      <c r="C494" s="399">
        <v>13805</v>
      </c>
    </row>
    <row r="495" spans="1:3" ht="15.75" customHeight="1">
      <c r="A495" s="452" t="s">
        <v>758</v>
      </c>
      <c r="B495" s="450"/>
      <c r="C495" s="399">
        <v>10985</v>
      </c>
    </row>
    <row r="496" spans="1:3" ht="15.75" customHeight="1">
      <c r="A496" s="452" t="s">
        <v>759</v>
      </c>
      <c r="B496" s="450"/>
      <c r="C496" s="399">
        <v>2820</v>
      </c>
    </row>
    <row r="497" spans="1:3" ht="15.75" customHeight="1">
      <c r="A497" s="452" t="s">
        <v>760</v>
      </c>
      <c r="B497" s="450"/>
      <c r="C497" s="399">
        <v>1711</v>
      </c>
    </row>
    <row r="498" spans="1:3" ht="15.75" customHeight="1">
      <c r="A498" s="452" t="s">
        <v>762</v>
      </c>
      <c r="B498" s="450"/>
      <c r="C498" s="399">
        <v>516</v>
      </c>
    </row>
    <row r="499" spans="1:3" ht="30" customHeight="1">
      <c r="A499" s="452" t="s">
        <v>764</v>
      </c>
      <c r="B499" s="450"/>
      <c r="C499" s="399">
        <v>1195</v>
      </c>
    </row>
    <row r="500" spans="1:3" ht="15.75">
      <c r="A500" s="397"/>
      <c r="B500" s="397"/>
      <c r="C500" s="397"/>
    </row>
    <row r="501" spans="1:3" ht="15.75" customHeight="1">
      <c r="A501" s="449" t="s">
        <v>830</v>
      </c>
      <c r="B501" s="450"/>
      <c r="C501" s="450"/>
    </row>
    <row r="502" spans="1:3" ht="15.75" customHeight="1">
      <c r="A502" s="449" t="s">
        <v>756</v>
      </c>
      <c r="B502" s="451"/>
      <c r="C502" s="398">
        <v>383572</v>
      </c>
    </row>
    <row r="503" spans="1:3" ht="15.75" customHeight="1">
      <c r="A503" s="452" t="s">
        <v>757</v>
      </c>
      <c r="B503" s="450"/>
      <c r="C503" s="399">
        <v>308710</v>
      </c>
    </row>
    <row r="504" spans="1:3" ht="15.75" customHeight="1">
      <c r="A504" s="452" t="s">
        <v>758</v>
      </c>
      <c r="B504" s="450"/>
      <c r="C504" s="399">
        <v>240535</v>
      </c>
    </row>
    <row r="505" spans="1:3" ht="15.75" customHeight="1">
      <c r="A505" s="452" t="s">
        <v>759</v>
      </c>
      <c r="B505" s="450"/>
      <c r="C505" s="399">
        <v>68175</v>
      </c>
    </row>
    <row r="506" spans="1:3" ht="15.75" customHeight="1">
      <c r="A506" s="452" t="s">
        <v>760</v>
      </c>
      <c r="B506" s="450"/>
      <c r="C506" s="399">
        <v>59976</v>
      </c>
    </row>
    <row r="507" spans="1:3" ht="15.75" customHeight="1">
      <c r="A507" s="452" t="s">
        <v>762</v>
      </c>
      <c r="B507" s="450"/>
      <c r="C507" s="399">
        <v>43534</v>
      </c>
    </row>
    <row r="508" spans="1:3" ht="30" customHeight="1">
      <c r="A508" s="452" t="s">
        <v>764</v>
      </c>
      <c r="B508" s="450"/>
      <c r="C508" s="399">
        <v>16442</v>
      </c>
    </row>
    <row r="509" spans="1:3" ht="15.75" customHeight="1">
      <c r="A509" s="452" t="s">
        <v>768</v>
      </c>
      <c r="B509" s="450"/>
      <c r="C509" s="399">
        <v>1000</v>
      </c>
    </row>
    <row r="510" spans="1:3" ht="15.75" customHeight="1">
      <c r="A510" s="452" t="s">
        <v>769</v>
      </c>
      <c r="B510" s="450"/>
      <c r="C510" s="399">
        <v>670</v>
      </c>
    </row>
    <row r="511" spans="1:3" ht="15.75" customHeight="1">
      <c r="A511" s="452" t="s">
        <v>770</v>
      </c>
      <c r="B511" s="450"/>
      <c r="C511" s="399">
        <v>330</v>
      </c>
    </row>
    <row r="512" spans="1:3" ht="15.75">
      <c r="A512" s="452" t="s">
        <v>771</v>
      </c>
      <c r="B512" s="450"/>
      <c r="C512" s="399">
        <v>13886</v>
      </c>
    </row>
    <row r="513" spans="1:3" ht="15.75" customHeight="1">
      <c r="A513" s="452" t="s">
        <v>772</v>
      </c>
      <c r="B513" s="450"/>
      <c r="C513" s="399">
        <v>13886</v>
      </c>
    </row>
    <row r="514" spans="1:3" ht="15.75">
      <c r="A514" s="397"/>
      <c r="B514" s="397"/>
      <c r="C514" s="397"/>
    </row>
    <row r="515" spans="1:3" ht="15.75" customHeight="1">
      <c r="A515" s="449" t="s">
        <v>831</v>
      </c>
      <c r="B515" s="450"/>
      <c r="C515" s="450"/>
    </row>
    <row r="516" spans="1:3" ht="15.75" customHeight="1">
      <c r="A516" s="449" t="s">
        <v>756</v>
      </c>
      <c r="B516" s="451"/>
      <c r="C516" s="398">
        <v>391815</v>
      </c>
    </row>
    <row r="517" spans="1:3" ht="15.75" customHeight="1">
      <c r="A517" s="452" t="s">
        <v>757</v>
      </c>
      <c r="B517" s="450"/>
      <c r="C517" s="399">
        <v>44856</v>
      </c>
    </row>
    <row r="518" spans="1:3" ht="15.75" customHeight="1">
      <c r="A518" s="452" t="s">
        <v>758</v>
      </c>
      <c r="B518" s="450"/>
      <c r="C518" s="399">
        <v>39419</v>
      </c>
    </row>
    <row r="519" spans="1:3" ht="15.75" customHeight="1">
      <c r="A519" s="452" t="s">
        <v>759</v>
      </c>
      <c r="B519" s="450"/>
      <c r="C519" s="399">
        <v>5437</v>
      </c>
    </row>
    <row r="520" spans="1:3" ht="15.75" customHeight="1">
      <c r="A520" s="452" t="s">
        <v>760</v>
      </c>
      <c r="B520" s="450"/>
      <c r="C520" s="399">
        <v>332959</v>
      </c>
    </row>
    <row r="521" spans="1:3" ht="15.75" customHeight="1">
      <c r="A521" s="452" t="s">
        <v>762</v>
      </c>
      <c r="B521" s="450"/>
      <c r="C521" s="399">
        <v>230358</v>
      </c>
    </row>
    <row r="522" spans="1:3" ht="30" customHeight="1">
      <c r="A522" s="452" t="s">
        <v>764</v>
      </c>
      <c r="B522" s="450"/>
      <c r="C522" s="399">
        <v>102551</v>
      </c>
    </row>
    <row r="523" spans="1:3" ht="15.75" customHeight="1">
      <c r="A523" s="452" t="s">
        <v>765</v>
      </c>
      <c r="B523" s="450"/>
      <c r="C523" s="399">
        <v>50</v>
      </c>
    </row>
    <row r="524" spans="1:3" ht="15.75" customHeight="1">
      <c r="A524" s="452" t="s">
        <v>768</v>
      </c>
      <c r="B524" s="450"/>
      <c r="C524" s="399">
        <v>14000</v>
      </c>
    </row>
    <row r="525" spans="1:3" ht="15.75" customHeight="1">
      <c r="A525" s="452" t="s">
        <v>769</v>
      </c>
      <c r="B525" s="450"/>
      <c r="C525" s="399">
        <v>7626</v>
      </c>
    </row>
    <row r="526" spans="1:3" ht="15.75" customHeight="1">
      <c r="A526" s="452" t="s">
        <v>770</v>
      </c>
      <c r="B526" s="450"/>
      <c r="C526" s="399">
        <v>6374</v>
      </c>
    </row>
    <row r="527" spans="1:3" ht="15.75">
      <c r="A527" s="397"/>
      <c r="B527" s="397"/>
      <c r="C527" s="397"/>
    </row>
    <row r="528" spans="1:3" ht="15.75" customHeight="1">
      <c r="A528" s="449" t="s">
        <v>832</v>
      </c>
      <c r="B528" s="450"/>
      <c r="C528" s="450"/>
    </row>
    <row r="529" spans="1:3" ht="15.75" customHeight="1">
      <c r="A529" s="449" t="s">
        <v>756</v>
      </c>
      <c r="B529" s="451"/>
      <c r="C529" s="398">
        <v>371080</v>
      </c>
    </row>
    <row r="530" spans="1:3" ht="15.75" customHeight="1">
      <c r="A530" s="452" t="s">
        <v>757</v>
      </c>
      <c r="B530" s="450"/>
      <c r="C530" s="399">
        <v>176202</v>
      </c>
    </row>
    <row r="531" spans="1:3" ht="15.75" customHeight="1">
      <c r="A531" s="452" t="s">
        <v>758</v>
      </c>
      <c r="B531" s="450"/>
      <c r="C531" s="399">
        <v>136497</v>
      </c>
    </row>
    <row r="532" spans="1:3" ht="15.75" customHeight="1">
      <c r="A532" s="452" t="s">
        <v>759</v>
      </c>
      <c r="B532" s="450"/>
      <c r="C532" s="399">
        <v>39705</v>
      </c>
    </row>
    <row r="533" spans="1:3" ht="15.75" customHeight="1">
      <c r="A533" s="452" t="s">
        <v>760</v>
      </c>
      <c r="B533" s="450"/>
      <c r="C533" s="399">
        <v>194878</v>
      </c>
    </row>
    <row r="534" spans="1:3" ht="15.75" customHeight="1">
      <c r="A534" s="452" t="s">
        <v>761</v>
      </c>
      <c r="B534" s="450"/>
      <c r="C534" s="399">
        <v>1796</v>
      </c>
    </row>
    <row r="535" spans="1:3" ht="15.75" customHeight="1">
      <c r="A535" s="452" t="s">
        <v>762</v>
      </c>
      <c r="B535" s="450"/>
      <c r="C535" s="399">
        <v>99046</v>
      </c>
    </row>
    <row r="536" spans="1:3" ht="30" customHeight="1">
      <c r="A536" s="452" t="s">
        <v>764</v>
      </c>
      <c r="B536" s="450"/>
      <c r="C536" s="399">
        <v>90336</v>
      </c>
    </row>
    <row r="537" spans="1:3" ht="15.75" customHeight="1">
      <c r="A537" s="452" t="s">
        <v>765</v>
      </c>
      <c r="B537" s="450"/>
      <c r="C537" s="399">
        <v>3700</v>
      </c>
    </row>
    <row r="538" spans="1:3" ht="15.75">
      <c r="A538" s="397"/>
      <c r="B538" s="397"/>
      <c r="C538" s="397"/>
    </row>
    <row r="539" spans="1:3" ht="15.75" customHeight="1">
      <c r="A539" s="449" t="s">
        <v>833</v>
      </c>
      <c r="B539" s="450"/>
      <c r="C539" s="450"/>
    </row>
    <row r="540" spans="1:3" ht="15.75" customHeight="1">
      <c r="A540" s="449" t="s">
        <v>756</v>
      </c>
      <c r="B540" s="451"/>
      <c r="C540" s="398">
        <v>42686</v>
      </c>
    </row>
    <row r="541" spans="1:3" ht="15.75" customHeight="1">
      <c r="A541" s="452" t="s">
        <v>791</v>
      </c>
      <c r="B541" s="450"/>
      <c r="C541" s="399">
        <v>42686</v>
      </c>
    </row>
    <row r="542" spans="1:3" ht="15.75" customHeight="1">
      <c r="A542" s="452" t="s">
        <v>792</v>
      </c>
      <c r="B542" s="450"/>
      <c r="C542" s="399">
        <v>42686</v>
      </c>
    </row>
    <row r="543" spans="1:3" ht="15.75">
      <c r="A543" s="397"/>
      <c r="B543" s="397"/>
      <c r="C543" s="397"/>
    </row>
    <row r="544" spans="1:3" ht="15.75" customHeight="1">
      <c r="A544" s="449" t="s">
        <v>834</v>
      </c>
      <c r="B544" s="450"/>
      <c r="C544" s="450"/>
    </row>
    <row r="545" spans="1:3" ht="15.75" customHeight="1">
      <c r="A545" s="449" t="s">
        <v>756</v>
      </c>
      <c r="B545" s="451"/>
      <c r="C545" s="398">
        <v>15600</v>
      </c>
    </row>
    <row r="546" spans="1:3" ht="15.75" customHeight="1">
      <c r="A546" s="452" t="s">
        <v>757</v>
      </c>
      <c r="B546" s="450"/>
      <c r="C546" s="399">
        <v>3210</v>
      </c>
    </row>
    <row r="547" spans="1:3" ht="15.75" customHeight="1">
      <c r="A547" s="452" t="s">
        <v>758</v>
      </c>
      <c r="B547" s="450"/>
      <c r="C547" s="399">
        <v>3000</v>
      </c>
    </row>
    <row r="548" spans="1:3" ht="15.75" customHeight="1">
      <c r="A548" s="452" t="s">
        <v>759</v>
      </c>
      <c r="B548" s="450"/>
      <c r="C548" s="399">
        <v>210</v>
      </c>
    </row>
    <row r="549" spans="1:3" ht="15.75" customHeight="1">
      <c r="A549" s="452" t="s">
        <v>760</v>
      </c>
      <c r="B549" s="450"/>
      <c r="C549" s="399">
        <v>5290</v>
      </c>
    </row>
    <row r="550" spans="1:3" ht="15.75" customHeight="1">
      <c r="A550" s="452" t="s">
        <v>762</v>
      </c>
      <c r="B550" s="450"/>
      <c r="C550" s="399">
        <v>3607</v>
      </c>
    </row>
    <row r="551" spans="1:3" ht="30" customHeight="1">
      <c r="A551" s="452" t="s">
        <v>764</v>
      </c>
      <c r="B551" s="450"/>
      <c r="C551" s="399">
        <v>1683</v>
      </c>
    </row>
    <row r="552" spans="1:3" ht="15.75" customHeight="1">
      <c r="A552" s="452" t="s">
        <v>791</v>
      </c>
      <c r="B552" s="450"/>
      <c r="C552" s="399">
        <v>7100</v>
      </c>
    </row>
    <row r="553" spans="1:3" ht="15.75" customHeight="1">
      <c r="A553" s="452" t="s">
        <v>792</v>
      </c>
      <c r="B553" s="450"/>
      <c r="C553" s="399">
        <v>7100</v>
      </c>
    </row>
    <row r="554" spans="1:3" ht="15.75">
      <c r="A554" s="397"/>
      <c r="B554" s="397"/>
      <c r="C554" s="397"/>
    </row>
    <row r="555" spans="1:3" ht="15.75" customHeight="1">
      <c r="A555" s="449" t="s">
        <v>835</v>
      </c>
      <c r="B555" s="450"/>
      <c r="C555" s="450"/>
    </row>
    <row r="556" spans="1:3" ht="15.75" customHeight="1">
      <c r="A556" s="449" t="s">
        <v>756</v>
      </c>
      <c r="B556" s="451"/>
      <c r="C556" s="398">
        <v>4270</v>
      </c>
    </row>
    <row r="557" spans="1:3" ht="15.75" customHeight="1">
      <c r="A557" s="452" t="s">
        <v>791</v>
      </c>
      <c r="B557" s="450"/>
      <c r="C557" s="399">
        <v>4270</v>
      </c>
    </row>
    <row r="558" spans="1:3" ht="15.75" customHeight="1">
      <c r="A558" s="452" t="s">
        <v>792</v>
      </c>
      <c r="B558" s="450"/>
      <c r="C558" s="399">
        <v>4270</v>
      </c>
    </row>
    <row r="559" spans="1:3" ht="15.75">
      <c r="A559" s="397"/>
      <c r="B559" s="397"/>
      <c r="C559" s="397"/>
    </row>
    <row r="560" spans="1:3" ht="15.75" customHeight="1">
      <c r="A560" s="449" t="s">
        <v>903</v>
      </c>
      <c r="B560" s="450"/>
      <c r="C560" s="450"/>
    </row>
    <row r="561" spans="1:3" ht="15.75" customHeight="1">
      <c r="A561" s="449" t="s">
        <v>756</v>
      </c>
      <c r="B561" s="451"/>
      <c r="C561" s="405">
        <v>149717</v>
      </c>
    </row>
    <row r="562" spans="1:3" ht="15.75" customHeight="1">
      <c r="A562" s="452" t="s">
        <v>791</v>
      </c>
      <c r="B562" s="450"/>
      <c r="C562" s="404">
        <v>149717</v>
      </c>
    </row>
    <row r="563" spans="1:3" ht="15.75" customHeight="1">
      <c r="A563" s="452" t="s">
        <v>792</v>
      </c>
      <c r="B563" s="450"/>
      <c r="C563" s="404">
        <v>139717</v>
      </c>
    </row>
    <row r="564" spans="1:3" ht="30" customHeight="1">
      <c r="A564" s="452" t="s">
        <v>793</v>
      </c>
      <c r="B564" s="450"/>
      <c r="C564" s="404">
        <v>10000</v>
      </c>
    </row>
    <row r="565" spans="1:3" ht="15.75">
      <c r="A565" s="397"/>
      <c r="B565" s="397"/>
      <c r="C565" s="397"/>
    </row>
    <row r="566" spans="1:3" ht="15.75" customHeight="1">
      <c r="A566" s="449" t="s">
        <v>836</v>
      </c>
      <c r="B566" s="450"/>
      <c r="C566" s="450"/>
    </row>
    <row r="567" spans="1:3" ht="15.75" customHeight="1">
      <c r="A567" s="449" t="s">
        <v>756</v>
      </c>
      <c r="B567" s="451"/>
      <c r="C567" s="405">
        <v>24266442</v>
      </c>
    </row>
    <row r="568" spans="1:3" ht="15.75" customHeight="1">
      <c r="A568" s="452" t="s">
        <v>757</v>
      </c>
      <c r="B568" s="450"/>
      <c r="C568" s="404">
        <v>14154348</v>
      </c>
    </row>
    <row r="569" spans="1:3" ht="15.75" customHeight="1">
      <c r="A569" s="452" t="s">
        <v>758</v>
      </c>
      <c r="B569" s="450"/>
      <c r="C569" s="404">
        <v>11170034</v>
      </c>
    </row>
    <row r="570" spans="1:3" ht="15.75" customHeight="1">
      <c r="A570" s="452" t="s">
        <v>759</v>
      </c>
      <c r="B570" s="450"/>
      <c r="C570" s="404">
        <v>2984314</v>
      </c>
    </row>
    <row r="571" spans="1:3" ht="15.75" customHeight="1">
      <c r="A571" s="452" t="s">
        <v>760</v>
      </c>
      <c r="B571" s="450"/>
      <c r="C571" s="404">
        <v>6394811</v>
      </c>
    </row>
    <row r="572" spans="1:3" ht="15.75" customHeight="1">
      <c r="A572" s="452" t="s">
        <v>761</v>
      </c>
      <c r="B572" s="450"/>
      <c r="C572" s="404">
        <v>97814</v>
      </c>
    </row>
    <row r="573" spans="1:3" ht="15.75" customHeight="1">
      <c r="A573" s="452" t="s">
        <v>762</v>
      </c>
      <c r="B573" s="450"/>
      <c r="C573" s="404">
        <v>4257934</v>
      </c>
    </row>
    <row r="574" spans="1:3" ht="30" customHeight="1">
      <c r="A574" s="452" t="s">
        <v>764</v>
      </c>
      <c r="B574" s="450"/>
      <c r="C574" s="404">
        <v>1972203</v>
      </c>
    </row>
    <row r="575" spans="1:3" ht="15.75" customHeight="1">
      <c r="A575" s="452" t="s">
        <v>820</v>
      </c>
      <c r="B575" s="450"/>
      <c r="C575" s="404">
        <v>11530</v>
      </c>
    </row>
    <row r="576" spans="1:3" ht="15.75" customHeight="1">
      <c r="A576" s="452" t="s">
        <v>765</v>
      </c>
      <c r="B576" s="450"/>
      <c r="C576" s="404">
        <v>55330</v>
      </c>
    </row>
    <row r="577" spans="1:3" ht="15.75" customHeight="1">
      <c r="A577" s="452" t="s">
        <v>791</v>
      </c>
      <c r="B577" s="450"/>
      <c r="C577" s="404">
        <v>1454470</v>
      </c>
    </row>
    <row r="578" spans="1:3" ht="15.75" customHeight="1">
      <c r="A578" s="452" t="s">
        <v>792</v>
      </c>
      <c r="B578" s="450"/>
      <c r="C578" s="404">
        <v>1454470</v>
      </c>
    </row>
    <row r="579" spans="1:3" ht="15.75" customHeight="1">
      <c r="A579" s="452" t="s">
        <v>768</v>
      </c>
      <c r="B579" s="450"/>
      <c r="C579" s="404">
        <v>2015110</v>
      </c>
    </row>
    <row r="580" spans="1:3" ht="15.75" customHeight="1">
      <c r="A580" s="452" t="s">
        <v>769</v>
      </c>
      <c r="B580" s="450"/>
      <c r="C580" s="404">
        <v>10286</v>
      </c>
    </row>
    <row r="581" spans="1:3" ht="15.75" customHeight="1">
      <c r="A581" s="452" t="s">
        <v>770</v>
      </c>
      <c r="B581" s="450"/>
      <c r="C581" s="404">
        <v>2004824</v>
      </c>
    </row>
    <row r="582" spans="1:3" ht="15.75" customHeight="1">
      <c r="A582" s="452" t="s">
        <v>812</v>
      </c>
      <c r="B582" s="450"/>
      <c r="C582" s="404">
        <v>234820</v>
      </c>
    </row>
    <row r="583" spans="1:3" ht="15.75" customHeight="1">
      <c r="A583" s="452" t="s">
        <v>813</v>
      </c>
      <c r="B583" s="450"/>
      <c r="C583" s="404">
        <v>234820</v>
      </c>
    </row>
    <row r="584" spans="1:3" ht="15.75">
      <c r="A584" s="452" t="s">
        <v>771</v>
      </c>
      <c r="B584" s="450"/>
      <c r="C584" s="404">
        <v>12883</v>
      </c>
    </row>
    <row r="585" spans="1:3" ht="15.75" customHeight="1">
      <c r="A585" s="452" t="s">
        <v>772</v>
      </c>
      <c r="B585" s="450"/>
      <c r="C585" s="404">
        <v>1191</v>
      </c>
    </row>
    <row r="586" spans="1:3" ht="15.75" customHeight="1">
      <c r="A586" s="452" t="s">
        <v>837</v>
      </c>
      <c r="B586" s="450"/>
      <c r="C586" s="404">
        <v>11692</v>
      </c>
    </row>
    <row r="587" spans="1:3" ht="15.75">
      <c r="A587" s="397"/>
      <c r="B587" s="397"/>
      <c r="C587" s="397"/>
    </row>
    <row r="588" spans="1:3" ht="15.75" customHeight="1" hidden="1">
      <c r="A588" s="449" t="s">
        <v>838</v>
      </c>
      <c r="B588" s="450"/>
      <c r="C588" s="450"/>
    </row>
    <row r="589" spans="1:3" ht="15.75" customHeight="1" hidden="1">
      <c r="A589" s="449" t="s">
        <v>756</v>
      </c>
      <c r="B589" s="451"/>
      <c r="C589" s="398">
        <v>20344870</v>
      </c>
    </row>
    <row r="590" spans="1:3" ht="15.75" customHeight="1" hidden="1">
      <c r="A590" s="452" t="s">
        <v>757</v>
      </c>
      <c r="B590" s="450"/>
      <c r="C590" s="399">
        <v>12739601</v>
      </c>
    </row>
    <row r="591" spans="1:3" ht="15.75" customHeight="1" hidden="1">
      <c r="A591" s="452" t="s">
        <v>758</v>
      </c>
      <c r="B591" s="450"/>
      <c r="C591" s="399">
        <v>10048539</v>
      </c>
    </row>
    <row r="592" spans="1:3" ht="15.75" customHeight="1" hidden="1">
      <c r="A592" s="452" t="s">
        <v>759</v>
      </c>
      <c r="B592" s="450"/>
      <c r="C592" s="399">
        <v>2691062</v>
      </c>
    </row>
    <row r="593" spans="1:3" ht="15.75" customHeight="1" hidden="1">
      <c r="A593" s="452" t="s">
        <v>760</v>
      </c>
      <c r="B593" s="450"/>
      <c r="C593" s="399">
        <v>5146709</v>
      </c>
    </row>
    <row r="594" spans="1:3" ht="15.75" customHeight="1" hidden="1">
      <c r="A594" s="452" t="s">
        <v>761</v>
      </c>
      <c r="B594" s="450"/>
      <c r="C594" s="399">
        <v>51979</v>
      </c>
    </row>
    <row r="595" spans="1:3" ht="15.75" customHeight="1" hidden="1">
      <c r="A595" s="452" t="s">
        <v>762</v>
      </c>
      <c r="B595" s="450"/>
      <c r="C595" s="399">
        <v>3171928</v>
      </c>
    </row>
    <row r="596" spans="1:3" ht="30" customHeight="1" hidden="1">
      <c r="A596" s="452" t="s">
        <v>764</v>
      </c>
      <c r="B596" s="450"/>
      <c r="C596" s="399">
        <v>1863533</v>
      </c>
    </row>
    <row r="597" spans="1:3" ht="15.75" customHeight="1" hidden="1">
      <c r="A597" s="452" t="s">
        <v>820</v>
      </c>
      <c r="B597" s="450"/>
      <c r="C597" s="399">
        <v>11530</v>
      </c>
    </row>
    <row r="598" spans="1:3" ht="15.75" customHeight="1" hidden="1">
      <c r="A598" s="452" t="s">
        <v>765</v>
      </c>
      <c r="B598" s="450"/>
      <c r="C598" s="399">
        <v>47739</v>
      </c>
    </row>
    <row r="599" spans="1:3" ht="15.75" customHeight="1" hidden="1">
      <c r="A599" s="452" t="s">
        <v>791</v>
      </c>
      <c r="B599" s="450"/>
      <c r="C599" s="399">
        <v>1450195</v>
      </c>
    </row>
    <row r="600" spans="1:3" ht="15.75" customHeight="1" hidden="1">
      <c r="A600" s="452" t="s">
        <v>792</v>
      </c>
      <c r="B600" s="450"/>
      <c r="C600" s="399">
        <v>1450195</v>
      </c>
    </row>
    <row r="601" spans="1:3" ht="15.75" customHeight="1" hidden="1">
      <c r="A601" s="452" t="s">
        <v>768</v>
      </c>
      <c r="B601" s="450"/>
      <c r="C601" s="399">
        <v>775060</v>
      </c>
    </row>
    <row r="602" spans="1:3" ht="15.75" customHeight="1" hidden="1">
      <c r="A602" s="452" t="s">
        <v>769</v>
      </c>
      <c r="B602" s="450"/>
      <c r="C602" s="399">
        <v>8486</v>
      </c>
    </row>
    <row r="603" spans="1:3" ht="15.75" customHeight="1" hidden="1">
      <c r="A603" s="452" t="s">
        <v>770</v>
      </c>
      <c r="B603" s="450"/>
      <c r="C603" s="399">
        <v>766574</v>
      </c>
    </row>
    <row r="604" spans="1:3" ht="15.75" customHeight="1" hidden="1">
      <c r="A604" s="452" t="s">
        <v>812</v>
      </c>
      <c r="B604" s="450"/>
      <c r="C604" s="399">
        <v>224642</v>
      </c>
    </row>
    <row r="605" spans="1:3" ht="15.75" customHeight="1" hidden="1">
      <c r="A605" s="452" t="s">
        <v>813</v>
      </c>
      <c r="B605" s="450"/>
      <c r="C605" s="399">
        <v>224642</v>
      </c>
    </row>
    <row r="606" spans="1:3" ht="15.75" hidden="1">
      <c r="A606" s="452" t="s">
        <v>771</v>
      </c>
      <c r="B606" s="450"/>
      <c r="C606" s="399">
        <v>8663</v>
      </c>
    </row>
    <row r="607" spans="1:3" ht="15.75" customHeight="1" hidden="1">
      <c r="A607" s="452" t="s">
        <v>772</v>
      </c>
      <c r="B607" s="450"/>
      <c r="C607" s="399">
        <v>1191</v>
      </c>
    </row>
    <row r="608" spans="1:3" ht="15.75" customHeight="1" hidden="1">
      <c r="A608" s="452" t="s">
        <v>837</v>
      </c>
      <c r="B608" s="450"/>
      <c r="C608" s="399">
        <v>7472</v>
      </c>
    </row>
    <row r="609" spans="1:3" ht="15.75" hidden="1">
      <c r="A609" s="397"/>
      <c r="B609" s="397"/>
      <c r="C609" s="397"/>
    </row>
    <row r="610" spans="1:3" ht="15.75" customHeight="1">
      <c r="A610" s="449" t="s">
        <v>839</v>
      </c>
      <c r="B610" s="450"/>
      <c r="C610" s="450"/>
    </row>
    <row r="611" spans="1:3" ht="15.75" customHeight="1">
      <c r="A611" s="449" t="s">
        <v>756</v>
      </c>
      <c r="B611" s="451"/>
      <c r="C611" s="398">
        <v>5963821</v>
      </c>
    </row>
    <row r="612" spans="1:3" ht="15.75" customHeight="1">
      <c r="A612" s="452" t="s">
        <v>757</v>
      </c>
      <c r="B612" s="450"/>
      <c r="C612" s="399">
        <v>3276617</v>
      </c>
    </row>
    <row r="613" spans="1:3" ht="15.75" customHeight="1">
      <c r="A613" s="452" t="s">
        <v>758</v>
      </c>
      <c r="B613" s="450"/>
      <c r="C613" s="399">
        <v>2575518</v>
      </c>
    </row>
    <row r="614" spans="1:3" ht="15.75" customHeight="1">
      <c r="A614" s="452" t="s">
        <v>759</v>
      </c>
      <c r="B614" s="450"/>
      <c r="C614" s="399">
        <v>701099</v>
      </c>
    </row>
    <row r="615" spans="1:3" ht="15.75" customHeight="1">
      <c r="A615" s="452" t="s">
        <v>760</v>
      </c>
      <c r="B615" s="450"/>
      <c r="C615" s="399">
        <v>1236245</v>
      </c>
    </row>
    <row r="616" spans="1:3" ht="15.75" customHeight="1">
      <c r="A616" s="452" t="s">
        <v>761</v>
      </c>
      <c r="B616" s="450"/>
      <c r="C616" s="399">
        <v>1350</v>
      </c>
    </row>
    <row r="617" spans="1:3" ht="15.75" customHeight="1">
      <c r="A617" s="452" t="s">
        <v>762</v>
      </c>
      <c r="B617" s="450"/>
      <c r="C617" s="399">
        <v>908338</v>
      </c>
    </row>
    <row r="618" spans="1:3" ht="30" customHeight="1">
      <c r="A618" s="452" t="s">
        <v>764</v>
      </c>
      <c r="B618" s="450"/>
      <c r="C618" s="399">
        <v>302182</v>
      </c>
    </row>
    <row r="619" spans="1:3" ht="15.75" customHeight="1">
      <c r="A619" s="452" t="s">
        <v>820</v>
      </c>
      <c r="B619" s="450"/>
      <c r="C619" s="399">
        <v>3080</v>
      </c>
    </row>
    <row r="620" spans="1:3" ht="15.75" customHeight="1">
      <c r="A620" s="452" t="s">
        <v>765</v>
      </c>
      <c r="B620" s="450"/>
      <c r="C620" s="399">
        <v>21295</v>
      </c>
    </row>
    <row r="621" spans="1:3" ht="15.75" customHeight="1">
      <c r="A621" s="452" t="s">
        <v>791</v>
      </c>
      <c r="B621" s="450"/>
      <c r="C621" s="399">
        <v>1316755</v>
      </c>
    </row>
    <row r="622" spans="1:3" ht="15.75" customHeight="1">
      <c r="A622" s="452" t="s">
        <v>792</v>
      </c>
      <c r="B622" s="450"/>
      <c r="C622" s="399">
        <v>1316755</v>
      </c>
    </row>
    <row r="623" spans="1:3" ht="15.75" customHeight="1">
      <c r="A623" s="452" t="s">
        <v>768</v>
      </c>
      <c r="B623" s="450"/>
      <c r="C623" s="399">
        <v>134204</v>
      </c>
    </row>
    <row r="624" spans="1:3" ht="15.75" customHeight="1">
      <c r="A624" s="452" t="s">
        <v>769</v>
      </c>
      <c r="B624" s="450"/>
      <c r="C624" s="399">
        <v>4074</v>
      </c>
    </row>
    <row r="625" spans="1:3" ht="15.75" customHeight="1">
      <c r="A625" s="452" t="s">
        <v>770</v>
      </c>
      <c r="B625" s="450"/>
      <c r="C625" s="399">
        <v>130130</v>
      </c>
    </row>
    <row r="626" spans="1:3" ht="15.75">
      <c r="A626" s="397"/>
      <c r="B626" s="397"/>
      <c r="C626" s="397"/>
    </row>
    <row r="627" spans="1:3" ht="15.75" customHeight="1">
      <c r="A627" s="449" t="s">
        <v>840</v>
      </c>
      <c r="B627" s="450"/>
      <c r="C627" s="450"/>
    </row>
    <row r="628" spans="1:3" ht="15.75" customHeight="1">
      <c r="A628" s="449" t="s">
        <v>756</v>
      </c>
      <c r="B628" s="451"/>
      <c r="C628" s="405">
        <v>9753153</v>
      </c>
    </row>
    <row r="629" spans="1:3" ht="15.75" customHeight="1">
      <c r="A629" s="452" t="s">
        <v>757</v>
      </c>
      <c r="B629" s="450"/>
      <c r="C629" s="404">
        <v>6534891</v>
      </c>
    </row>
    <row r="630" spans="1:3" ht="15.75" customHeight="1">
      <c r="A630" s="452" t="s">
        <v>758</v>
      </c>
      <c r="B630" s="450"/>
      <c r="C630" s="404">
        <v>5172950</v>
      </c>
    </row>
    <row r="631" spans="1:3" ht="15.75" customHeight="1">
      <c r="A631" s="452" t="s">
        <v>759</v>
      </c>
      <c r="B631" s="450"/>
      <c r="C631" s="404">
        <v>1361941</v>
      </c>
    </row>
    <row r="632" spans="1:3" ht="15.75" customHeight="1">
      <c r="A632" s="452" t="s">
        <v>760</v>
      </c>
      <c r="B632" s="450"/>
      <c r="C632" s="404">
        <v>2664060</v>
      </c>
    </row>
    <row r="633" spans="1:3" ht="15.75" customHeight="1">
      <c r="A633" s="452" t="s">
        <v>761</v>
      </c>
      <c r="B633" s="450"/>
      <c r="C633" s="404">
        <v>16820</v>
      </c>
    </row>
    <row r="634" spans="1:3" ht="15.75" customHeight="1">
      <c r="A634" s="452" t="s">
        <v>762</v>
      </c>
      <c r="B634" s="450"/>
      <c r="C634" s="404">
        <v>1518602</v>
      </c>
    </row>
    <row r="635" spans="1:3" ht="30" customHeight="1">
      <c r="A635" s="452" t="s">
        <v>764</v>
      </c>
      <c r="B635" s="450"/>
      <c r="C635" s="404">
        <v>1101489</v>
      </c>
    </row>
    <row r="636" spans="1:3" ht="15.75" customHeight="1">
      <c r="A636" s="452" t="s">
        <v>820</v>
      </c>
      <c r="B636" s="450"/>
      <c r="C636" s="404">
        <v>5800</v>
      </c>
    </row>
    <row r="637" spans="1:3" ht="15.75" customHeight="1">
      <c r="A637" s="452" t="s">
        <v>765</v>
      </c>
      <c r="B637" s="450"/>
      <c r="C637" s="404">
        <v>21349</v>
      </c>
    </row>
    <row r="638" spans="1:3" ht="15.75" customHeight="1">
      <c r="A638" s="452" t="s">
        <v>791</v>
      </c>
      <c r="B638" s="450"/>
      <c r="C638" s="404">
        <v>133440</v>
      </c>
    </row>
    <row r="639" spans="1:3" ht="15.75" customHeight="1">
      <c r="A639" s="452" t="s">
        <v>792</v>
      </c>
      <c r="B639" s="450"/>
      <c r="C639" s="404">
        <v>133440</v>
      </c>
    </row>
    <row r="640" spans="1:3" ht="15.75" customHeight="1">
      <c r="A640" s="452" t="s">
        <v>768</v>
      </c>
      <c r="B640" s="450"/>
      <c r="C640" s="404">
        <v>420762</v>
      </c>
    </row>
    <row r="641" spans="1:3" ht="15.75" customHeight="1">
      <c r="A641" s="452" t="s">
        <v>769</v>
      </c>
      <c r="B641" s="450"/>
      <c r="C641" s="404">
        <v>2812</v>
      </c>
    </row>
    <row r="642" spans="1:3" ht="15.75" customHeight="1">
      <c r="A642" s="452" t="s">
        <v>770</v>
      </c>
      <c r="B642" s="450"/>
      <c r="C642" s="404">
        <v>417950</v>
      </c>
    </row>
    <row r="643" spans="1:3" ht="15.75">
      <c r="A643" s="397"/>
      <c r="B643" s="397"/>
      <c r="C643" s="397"/>
    </row>
    <row r="644" spans="1:3" ht="15.75" customHeight="1">
      <c r="A644" s="449" t="s">
        <v>841</v>
      </c>
      <c r="B644" s="450"/>
      <c r="C644" s="450"/>
    </row>
    <row r="645" spans="1:3" ht="15.75" customHeight="1">
      <c r="A645" s="449" t="s">
        <v>756</v>
      </c>
      <c r="B645" s="451"/>
      <c r="C645" s="398">
        <v>1837765</v>
      </c>
    </row>
    <row r="646" spans="1:3" ht="15.75" customHeight="1">
      <c r="A646" s="452" t="s">
        <v>757</v>
      </c>
      <c r="B646" s="450"/>
      <c r="C646" s="399">
        <v>1148806</v>
      </c>
    </row>
    <row r="647" spans="1:3" ht="15.75" customHeight="1">
      <c r="A647" s="452" t="s">
        <v>758</v>
      </c>
      <c r="B647" s="450"/>
      <c r="C647" s="399">
        <v>904031</v>
      </c>
    </row>
    <row r="648" spans="1:3" ht="15.75" customHeight="1">
      <c r="A648" s="452" t="s">
        <v>759</v>
      </c>
      <c r="B648" s="450"/>
      <c r="C648" s="399">
        <v>244775</v>
      </c>
    </row>
    <row r="649" spans="1:3" ht="15.75" customHeight="1">
      <c r="A649" s="452" t="s">
        <v>760</v>
      </c>
      <c r="B649" s="450"/>
      <c r="C649" s="399">
        <v>567309</v>
      </c>
    </row>
    <row r="650" spans="1:3" ht="15.75" customHeight="1">
      <c r="A650" s="452" t="s">
        <v>761</v>
      </c>
      <c r="B650" s="450"/>
      <c r="C650" s="399">
        <v>200</v>
      </c>
    </row>
    <row r="651" spans="1:3" ht="15.75" customHeight="1">
      <c r="A651" s="452" t="s">
        <v>762</v>
      </c>
      <c r="B651" s="450"/>
      <c r="C651" s="399">
        <v>343921</v>
      </c>
    </row>
    <row r="652" spans="1:3" ht="30" customHeight="1">
      <c r="A652" s="452" t="s">
        <v>764</v>
      </c>
      <c r="B652" s="450"/>
      <c r="C652" s="399">
        <v>219783</v>
      </c>
    </row>
    <row r="653" spans="1:3" ht="15.75" customHeight="1">
      <c r="A653" s="452" t="s">
        <v>820</v>
      </c>
      <c r="B653" s="450"/>
      <c r="C653" s="399">
        <v>1200</v>
      </c>
    </row>
    <row r="654" spans="1:3" ht="15.75" customHeight="1">
      <c r="A654" s="452" t="s">
        <v>765</v>
      </c>
      <c r="B654" s="450"/>
      <c r="C654" s="399">
        <v>2205</v>
      </c>
    </row>
    <row r="655" spans="1:3" ht="15.75" customHeight="1">
      <c r="A655" s="452" t="s">
        <v>768</v>
      </c>
      <c r="B655" s="450"/>
      <c r="C655" s="399">
        <v>121650</v>
      </c>
    </row>
    <row r="656" spans="1:3" ht="15.75" customHeight="1">
      <c r="A656" s="452" t="s">
        <v>770</v>
      </c>
      <c r="B656" s="450"/>
      <c r="C656" s="399">
        <v>121650</v>
      </c>
    </row>
    <row r="657" spans="1:3" ht="15.75">
      <c r="A657" s="397"/>
      <c r="B657" s="397"/>
      <c r="C657" s="397"/>
    </row>
    <row r="658" spans="1:3" ht="15.75" customHeight="1">
      <c r="A658" s="449" t="s">
        <v>842</v>
      </c>
      <c r="B658" s="450"/>
      <c r="C658" s="450"/>
    </row>
    <row r="659" spans="1:3" ht="15.75" customHeight="1">
      <c r="A659" s="449" t="s">
        <v>756</v>
      </c>
      <c r="B659" s="451"/>
      <c r="C659" s="398">
        <v>54525</v>
      </c>
    </row>
    <row r="660" spans="1:3" ht="15.75" customHeight="1">
      <c r="A660" s="452" t="s">
        <v>757</v>
      </c>
      <c r="B660" s="450"/>
      <c r="C660" s="399">
        <v>1781</v>
      </c>
    </row>
    <row r="661" spans="1:3" ht="15.75" customHeight="1">
      <c r="A661" s="452" t="s">
        <v>758</v>
      </c>
      <c r="B661" s="450"/>
      <c r="C661" s="399">
        <v>1440</v>
      </c>
    </row>
    <row r="662" spans="1:3" ht="15.75" customHeight="1">
      <c r="A662" s="452" t="s">
        <v>759</v>
      </c>
      <c r="B662" s="450"/>
      <c r="C662" s="399">
        <v>341</v>
      </c>
    </row>
    <row r="663" spans="1:3" ht="15.75" customHeight="1">
      <c r="A663" s="452" t="s">
        <v>760</v>
      </c>
      <c r="B663" s="450"/>
      <c r="C663" s="399">
        <v>52244</v>
      </c>
    </row>
    <row r="664" spans="1:3" ht="15.75" customHeight="1">
      <c r="A664" s="452" t="s">
        <v>761</v>
      </c>
      <c r="B664" s="450"/>
      <c r="C664" s="399">
        <v>9742</v>
      </c>
    </row>
    <row r="665" spans="1:3" ht="15.75" customHeight="1">
      <c r="A665" s="452" t="s">
        <v>762</v>
      </c>
      <c r="B665" s="450"/>
      <c r="C665" s="399">
        <v>41775</v>
      </c>
    </row>
    <row r="666" spans="1:3" ht="30" customHeight="1">
      <c r="A666" s="452" t="s">
        <v>764</v>
      </c>
      <c r="B666" s="450"/>
      <c r="C666" s="399">
        <v>727</v>
      </c>
    </row>
    <row r="667" spans="1:3" ht="15.75" customHeight="1">
      <c r="A667" s="452" t="s">
        <v>768</v>
      </c>
      <c r="B667" s="450"/>
      <c r="C667" s="399">
        <v>500</v>
      </c>
    </row>
    <row r="668" spans="1:3" ht="15.75" customHeight="1">
      <c r="A668" s="452" t="s">
        <v>770</v>
      </c>
      <c r="B668" s="450"/>
      <c r="C668" s="399">
        <v>500</v>
      </c>
    </row>
    <row r="669" spans="1:3" ht="15.75">
      <c r="A669" s="397"/>
      <c r="B669" s="397"/>
      <c r="C669" s="397"/>
    </row>
    <row r="670" spans="1:3" ht="15.75" customHeight="1">
      <c r="A670" s="449" t="s">
        <v>843</v>
      </c>
      <c r="B670" s="450"/>
      <c r="C670" s="450"/>
    </row>
    <row r="671" spans="1:3" ht="15.75" customHeight="1">
      <c r="A671" s="449" t="s">
        <v>756</v>
      </c>
      <c r="B671" s="451"/>
      <c r="C671" s="398">
        <v>748197</v>
      </c>
    </row>
    <row r="672" spans="1:3" ht="15.75" customHeight="1">
      <c r="A672" s="452" t="s">
        <v>757</v>
      </c>
      <c r="B672" s="450"/>
      <c r="C672" s="399">
        <v>427689</v>
      </c>
    </row>
    <row r="673" spans="1:3" ht="15.75" customHeight="1">
      <c r="A673" s="452" t="s">
        <v>758</v>
      </c>
      <c r="B673" s="450"/>
      <c r="C673" s="399">
        <v>336972</v>
      </c>
    </row>
    <row r="674" spans="1:3" ht="15.75" customHeight="1">
      <c r="A674" s="452" t="s">
        <v>759</v>
      </c>
      <c r="B674" s="450"/>
      <c r="C674" s="399">
        <v>90717</v>
      </c>
    </row>
    <row r="675" spans="1:3" ht="15.75" customHeight="1">
      <c r="A675" s="452" t="s">
        <v>760</v>
      </c>
      <c r="B675" s="450"/>
      <c r="C675" s="399">
        <v>185182</v>
      </c>
    </row>
    <row r="676" spans="1:3" ht="15.75" customHeight="1">
      <c r="A676" s="452" t="s">
        <v>761</v>
      </c>
      <c r="B676" s="450"/>
      <c r="C676" s="399">
        <v>8500</v>
      </c>
    </row>
    <row r="677" spans="1:3" ht="15.75" customHeight="1">
      <c r="A677" s="452" t="s">
        <v>762</v>
      </c>
      <c r="B677" s="450"/>
      <c r="C677" s="399">
        <v>109578</v>
      </c>
    </row>
    <row r="678" spans="1:3" ht="30" customHeight="1">
      <c r="A678" s="452" t="s">
        <v>764</v>
      </c>
      <c r="B678" s="450"/>
      <c r="C678" s="399">
        <v>65000</v>
      </c>
    </row>
    <row r="679" spans="1:3" ht="15.75" customHeight="1">
      <c r="A679" s="452" t="s">
        <v>820</v>
      </c>
      <c r="B679" s="450"/>
      <c r="C679" s="399">
        <v>500</v>
      </c>
    </row>
    <row r="680" spans="1:3" ht="15.75" customHeight="1">
      <c r="A680" s="452" t="s">
        <v>765</v>
      </c>
      <c r="B680" s="450"/>
      <c r="C680" s="399">
        <v>1604</v>
      </c>
    </row>
    <row r="681" spans="1:3" ht="15.75" customHeight="1">
      <c r="A681" s="452" t="s">
        <v>768</v>
      </c>
      <c r="B681" s="450"/>
      <c r="C681" s="399">
        <v>37644</v>
      </c>
    </row>
    <row r="682" spans="1:3" ht="15.75" customHeight="1">
      <c r="A682" s="452" t="s">
        <v>769</v>
      </c>
      <c r="B682" s="450"/>
      <c r="C682" s="399">
        <v>1000</v>
      </c>
    </row>
    <row r="683" spans="1:3" ht="15.75" customHeight="1">
      <c r="A683" s="452" t="s">
        <v>770</v>
      </c>
      <c r="B683" s="450"/>
      <c r="C683" s="399">
        <v>36644</v>
      </c>
    </row>
    <row r="684" spans="1:3" ht="15.75" customHeight="1">
      <c r="A684" s="452" t="s">
        <v>812</v>
      </c>
      <c r="B684" s="450"/>
      <c r="C684" s="399">
        <v>97682</v>
      </c>
    </row>
    <row r="685" spans="1:3" ht="15.75" customHeight="1">
      <c r="A685" s="452" t="s">
        <v>813</v>
      </c>
      <c r="B685" s="450"/>
      <c r="C685" s="399">
        <v>97682</v>
      </c>
    </row>
    <row r="686" spans="1:3" ht="15.75">
      <c r="A686" s="397"/>
      <c r="B686" s="397"/>
      <c r="C686" s="397"/>
    </row>
    <row r="687" spans="1:3" ht="15.75" customHeight="1">
      <c r="A687" s="449" t="s">
        <v>844</v>
      </c>
      <c r="B687" s="450"/>
      <c r="C687" s="450"/>
    </row>
    <row r="688" spans="1:3" ht="15.75" customHeight="1">
      <c r="A688" s="449" t="s">
        <v>756</v>
      </c>
      <c r="B688" s="451"/>
      <c r="C688" s="398">
        <v>410594</v>
      </c>
    </row>
    <row r="689" spans="1:3" ht="15.75" customHeight="1">
      <c r="A689" s="452" t="s">
        <v>757</v>
      </c>
      <c r="B689" s="450"/>
      <c r="C689" s="399">
        <v>178291</v>
      </c>
    </row>
    <row r="690" spans="1:3" ht="15.75" customHeight="1">
      <c r="A690" s="452" t="s">
        <v>758</v>
      </c>
      <c r="B690" s="450"/>
      <c r="C690" s="399">
        <v>144168</v>
      </c>
    </row>
    <row r="691" spans="1:3" ht="15.75" customHeight="1">
      <c r="A691" s="452" t="s">
        <v>759</v>
      </c>
      <c r="B691" s="450"/>
      <c r="C691" s="399">
        <v>34123</v>
      </c>
    </row>
    <row r="692" spans="1:3" ht="15.75" customHeight="1">
      <c r="A692" s="452" t="s">
        <v>760</v>
      </c>
      <c r="B692" s="450"/>
      <c r="C692" s="399">
        <v>97871</v>
      </c>
    </row>
    <row r="693" spans="1:3" ht="15.75" customHeight="1">
      <c r="A693" s="452" t="s">
        <v>761</v>
      </c>
      <c r="B693" s="450"/>
      <c r="C693" s="399">
        <v>7967</v>
      </c>
    </row>
    <row r="694" spans="1:3" ht="15.75" customHeight="1">
      <c r="A694" s="452" t="s">
        <v>762</v>
      </c>
      <c r="B694" s="450"/>
      <c r="C694" s="399">
        <v>33955</v>
      </c>
    </row>
    <row r="695" spans="1:3" ht="30" customHeight="1">
      <c r="A695" s="452" t="s">
        <v>764</v>
      </c>
      <c r="B695" s="450"/>
      <c r="C695" s="399">
        <v>55949</v>
      </c>
    </row>
    <row r="696" spans="1:3" ht="15.75" customHeight="1">
      <c r="A696" s="452" t="s">
        <v>812</v>
      </c>
      <c r="B696" s="450"/>
      <c r="C696" s="399">
        <v>126960</v>
      </c>
    </row>
    <row r="697" spans="1:3" ht="15.75" customHeight="1">
      <c r="A697" s="452" t="s">
        <v>813</v>
      </c>
      <c r="B697" s="450"/>
      <c r="C697" s="399">
        <v>126960</v>
      </c>
    </row>
    <row r="698" spans="1:3" ht="15.75">
      <c r="A698" s="452" t="s">
        <v>771</v>
      </c>
      <c r="B698" s="450"/>
      <c r="C698" s="399">
        <v>7472</v>
      </c>
    </row>
    <row r="699" spans="1:3" ht="15.75" customHeight="1">
      <c r="A699" s="452" t="s">
        <v>837</v>
      </c>
      <c r="B699" s="450"/>
      <c r="C699" s="399">
        <v>7472</v>
      </c>
    </row>
    <row r="700" spans="1:3" ht="15.75">
      <c r="A700" s="397"/>
      <c r="B700" s="397"/>
      <c r="C700" s="397"/>
    </row>
    <row r="701" spans="1:3" ht="15.75" customHeight="1">
      <c r="A701" s="449" t="s">
        <v>845</v>
      </c>
      <c r="B701" s="450"/>
      <c r="C701" s="450"/>
    </row>
    <row r="702" spans="1:3" ht="15.75" customHeight="1">
      <c r="A702" s="449" t="s">
        <v>756</v>
      </c>
      <c r="B702" s="451"/>
      <c r="C702" s="398">
        <v>649902</v>
      </c>
    </row>
    <row r="703" spans="1:3" ht="15.75" customHeight="1">
      <c r="A703" s="452" t="s">
        <v>757</v>
      </c>
      <c r="B703" s="450"/>
      <c r="C703" s="399">
        <v>446678</v>
      </c>
    </row>
    <row r="704" spans="1:3" ht="15.75" customHeight="1">
      <c r="A704" s="452" t="s">
        <v>758</v>
      </c>
      <c r="B704" s="450"/>
      <c r="C704" s="399">
        <v>353121</v>
      </c>
    </row>
    <row r="705" spans="1:3" ht="15.75" customHeight="1">
      <c r="A705" s="452" t="s">
        <v>759</v>
      </c>
      <c r="B705" s="450"/>
      <c r="C705" s="399">
        <v>93557</v>
      </c>
    </row>
    <row r="706" spans="1:3" ht="15.75" customHeight="1">
      <c r="A706" s="452" t="s">
        <v>760</v>
      </c>
      <c r="B706" s="450"/>
      <c r="C706" s="399">
        <v>185524</v>
      </c>
    </row>
    <row r="707" spans="1:3" ht="15.75" customHeight="1">
      <c r="A707" s="452" t="s">
        <v>761</v>
      </c>
      <c r="B707" s="450"/>
      <c r="C707" s="399">
        <v>2750</v>
      </c>
    </row>
    <row r="708" spans="1:3" ht="15.75" customHeight="1">
      <c r="A708" s="452" t="s">
        <v>762</v>
      </c>
      <c r="B708" s="450"/>
      <c r="C708" s="399">
        <v>115040</v>
      </c>
    </row>
    <row r="709" spans="1:3" ht="30" customHeight="1">
      <c r="A709" s="452" t="s">
        <v>764</v>
      </c>
      <c r="B709" s="450"/>
      <c r="C709" s="399">
        <v>66282</v>
      </c>
    </row>
    <row r="710" spans="1:3" ht="15.75" customHeight="1">
      <c r="A710" s="452" t="s">
        <v>820</v>
      </c>
      <c r="B710" s="450"/>
      <c r="C710" s="399">
        <v>550</v>
      </c>
    </row>
    <row r="711" spans="1:3" ht="15.75" customHeight="1">
      <c r="A711" s="452" t="s">
        <v>765</v>
      </c>
      <c r="B711" s="450"/>
      <c r="C711" s="399">
        <v>902</v>
      </c>
    </row>
    <row r="712" spans="1:3" ht="15.75" customHeight="1">
      <c r="A712" s="452" t="s">
        <v>768</v>
      </c>
      <c r="B712" s="450"/>
      <c r="C712" s="399">
        <v>17700</v>
      </c>
    </row>
    <row r="713" spans="1:3" ht="15.75" customHeight="1">
      <c r="A713" s="452" t="s">
        <v>769</v>
      </c>
      <c r="B713" s="450"/>
      <c r="C713" s="399">
        <v>600</v>
      </c>
    </row>
    <row r="714" spans="1:3" ht="15.75" customHeight="1">
      <c r="A714" s="452" t="s">
        <v>770</v>
      </c>
      <c r="B714" s="450"/>
      <c r="C714" s="399">
        <v>17100</v>
      </c>
    </row>
    <row r="715" spans="1:3" ht="15.75">
      <c r="A715" s="397"/>
      <c r="B715" s="397"/>
      <c r="C715" s="397"/>
    </row>
    <row r="716" spans="1:3" ht="15.75" customHeight="1">
      <c r="A716" s="449" t="s">
        <v>846</v>
      </c>
      <c r="B716" s="450"/>
      <c r="C716" s="450"/>
    </row>
    <row r="717" spans="1:3" ht="15.75" customHeight="1">
      <c r="A717" s="449" t="s">
        <v>756</v>
      </c>
      <c r="B717" s="451"/>
      <c r="C717" s="398">
        <v>215126</v>
      </c>
    </row>
    <row r="718" spans="1:3" ht="15.75" customHeight="1">
      <c r="A718" s="452" t="s">
        <v>757</v>
      </c>
      <c r="B718" s="450"/>
      <c r="C718" s="399">
        <v>149746</v>
      </c>
    </row>
    <row r="719" spans="1:3" ht="15.75" customHeight="1">
      <c r="A719" s="452" t="s">
        <v>758</v>
      </c>
      <c r="B719" s="450"/>
      <c r="C719" s="399">
        <v>117475</v>
      </c>
    </row>
    <row r="720" spans="1:3" ht="15.75" customHeight="1">
      <c r="A720" s="452" t="s">
        <v>759</v>
      </c>
      <c r="B720" s="450"/>
      <c r="C720" s="399">
        <v>32271</v>
      </c>
    </row>
    <row r="721" spans="1:3" ht="15.75" customHeight="1">
      <c r="A721" s="452" t="s">
        <v>760</v>
      </c>
      <c r="B721" s="450"/>
      <c r="C721" s="399">
        <v>60289</v>
      </c>
    </row>
    <row r="722" spans="1:3" ht="15.75" customHeight="1">
      <c r="A722" s="452" t="s">
        <v>761</v>
      </c>
      <c r="B722" s="450"/>
      <c r="C722" s="399">
        <v>360</v>
      </c>
    </row>
    <row r="723" spans="1:3" ht="15.75" customHeight="1">
      <c r="A723" s="452" t="s">
        <v>762</v>
      </c>
      <c r="B723" s="450"/>
      <c r="C723" s="399">
        <v>45582</v>
      </c>
    </row>
    <row r="724" spans="1:3" ht="30" customHeight="1">
      <c r="A724" s="452" t="s">
        <v>764</v>
      </c>
      <c r="B724" s="450"/>
      <c r="C724" s="399">
        <v>13747</v>
      </c>
    </row>
    <row r="725" spans="1:3" ht="15.75" customHeight="1">
      <c r="A725" s="452" t="s">
        <v>820</v>
      </c>
      <c r="B725" s="450"/>
      <c r="C725" s="399">
        <v>300</v>
      </c>
    </row>
    <row r="726" spans="1:3" ht="15.75" customHeight="1">
      <c r="A726" s="452" t="s">
        <v>765</v>
      </c>
      <c r="B726" s="450"/>
      <c r="C726" s="399">
        <v>300</v>
      </c>
    </row>
    <row r="727" spans="1:3" ht="15.75" customHeight="1">
      <c r="A727" s="452" t="s">
        <v>768</v>
      </c>
      <c r="B727" s="450"/>
      <c r="C727" s="399">
        <v>3900</v>
      </c>
    </row>
    <row r="728" spans="1:3" ht="15.75" customHeight="1">
      <c r="A728" s="452" t="s">
        <v>770</v>
      </c>
      <c r="B728" s="450"/>
      <c r="C728" s="399">
        <v>3900</v>
      </c>
    </row>
    <row r="729" spans="1:3" ht="15.75">
      <c r="A729" s="452" t="s">
        <v>771</v>
      </c>
      <c r="B729" s="450"/>
      <c r="C729" s="399">
        <v>1191</v>
      </c>
    </row>
    <row r="730" spans="1:3" ht="15.75" customHeight="1">
      <c r="A730" s="452" t="s">
        <v>772</v>
      </c>
      <c r="B730" s="450"/>
      <c r="C730" s="399">
        <v>1191</v>
      </c>
    </row>
    <row r="731" spans="1:3" ht="15.75">
      <c r="A731" s="397"/>
      <c r="B731" s="397"/>
      <c r="C731" s="397"/>
    </row>
    <row r="732" spans="1:3" ht="15.75" customHeight="1">
      <c r="A732" s="449" t="s">
        <v>847</v>
      </c>
      <c r="B732" s="450"/>
      <c r="C732" s="450"/>
    </row>
    <row r="733" spans="1:3" ht="15.75" customHeight="1">
      <c r="A733" s="449" t="s">
        <v>756</v>
      </c>
      <c r="B733" s="451"/>
      <c r="C733" s="398">
        <v>799</v>
      </c>
    </row>
    <row r="734" spans="1:3" ht="15.75" customHeight="1">
      <c r="A734" s="452" t="s">
        <v>760</v>
      </c>
      <c r="B734" s="450"/>
      <c r="C734" s="399">
        <v>799</v>
      </c>
    </row>
    <row r="735" spans="1:3" ht="30" customHeight="1">
      <c r="A735" s="452" t="s">
        <v>764</v>
      </c>
      <c r="B735" s="450"/>
      <c r="C735" s="399">
        <v>799</v>
      </c>
    </row>
    <row r="736" spans="1:3" ht="15.75">
      <c r="A736" s="397"/>
      <c r="B736" s="397"/>
      <c r="C736" s="397"/>
    </row>
    <row r="737" spans="1:3" ht="15.75" customHeight="1">
      <c r="A737" s="449" t="s">
        <v>848</v>
      </c>
      <c r="B737" s="450"/>
      <c r="C737" s="450"/>
    </row>
    <row r="738" spans="1:3" ht="15.75" customHeight="1">
      <c r="A738" s="449" t="s">
        <v>756</v>
      </c>
      <c r="B738" s="451"/>
      <c r="C738" s="398">
        <v>692301</v>
      </c>
    </row>
    <row r="739" spans="1:3" ht="15.75" customHeight="1">
      <c r="A739" s="452" t="s">
        <v>757</v>
      </c>
      <c r="B739" s="450"/>
      <c r="C739" s="399">
        <v>539386</v>
      </c>
    </row>
    <row r="740" spans="1:3" ht="15.75" customHeight="1">
      <c r="A740" s="452" t="s">
        <v>758</v>
      </c>
      <c r="B740" s="450"/>
      <c r="C740" s="399">
        <v>415485</v>
      </c>
    </row>
    <row r="741" spans="1:3" ht="15.75" customHeight="1">
      <c r="A741" s="452" t="s">
        <v>759</v>
      </c>
      <c r="B741" s="450"/>
      <c r="C741" s="399">
        <v>123901</v>
      </c>
    </row>
    <row r="742" spans="1:3" ht="15.75" customHeight="1">
      <c r="A742" s="452" t="s">
        <v>760</v>
      </c>
      <c r="B742" s="450"/>
      <c r="C742" s="399">
        <v>114815</v>
      </c>
    </row>
    <row r="743" spans="1:3" ht="15.75" customHeight="1">
      <c r="A743" s="452" t="s">
        <v>761</v>
      </c>
      <c r="B743" s="450"/>
      <c r="C743" s="399">
        <v>3400</v>
      </c>
    </row>
    <row r="744" spans="1:3" ht="15.75" customHeight="1">
      <c r="A744" s="452" t="s">
        <v>762</v>
      </c>
      <c r="B744" s="450"/>
      <c r="C744" s="399">
        <v>74615</v>
      </c>
    </row>
    <row r="745" spans="1:3" ht="30" customHeight="1">
      <c r="A745" s="452" t="s">
        <v>764</v>
      </c>
      <c r="B745" s="450"/>
      <c r="C745" s="399">
        <v>36700</v>
      </c>
    </row>
    <row r="746" spans="1:3" ht="15.75" customHeight="1">
      <c r="A746" s="452" t="s">
        <v>820</v>
      </c>
      <c r="B746" s="450"/>
      <c r="C746" s="399">
        <v>100</v>
      </c>
    </row>
    <row r="747" spans="1:3" ht="15.75" customHeight="1">
      <c r="A747" s="452" t="s">
        <v>768</v>
      </c>
      <c r="B747" s="450"/>
      <c r="C747" s="399">
        <v>38100</v>
      </c>
    </row>
    <row r="748" spans="1:3" ht="15.75" customHeight="1">
      <c r="A748" s="452" t="s">
        <v>770</v>
      </c>
      <c r="B748" s="450"/>
      <c r="C748" s="399">
        <v>38100</v>
      </c>
    </row>
    <row r="749" spans="1:3" ht="15.75">
      <c r="A749" s="397"/>
      <c r="B749" s="397"/>
      <c r="C749" s="397"/>
    </row>
    <row r="750" spans="1:3" ht="15.75" customHeight="1">
      <c r="A750" s="449" t="s">
        <v>904</v>
      </c>
      <c r="B750" s="450"/>
      <c r="C750" s="450"/>
    </row>
    <row r="751" spans="1:3" ht="15.75" customHeight="1">
      <c r="A751" s="449" t="s">
        <v>756</v>
      </c>
      <c r="B751" s="451"/>
      <c r="C751" s="398">
        <v>39687</v>
      </c>
    </row>
    <row r="752" spans="1:3" ht="15.75" customHeight="1">
      <c r="A752" s="452" t="s">
        <v>757</v>
      </c>
      <c r="B752" s="450"/>
      <c r="C752" s="399">
        <v>35716</v>
      </c>
    </row>
    <row r="753" spans="1:3" ht="15.75" customHeight="1">
      <c r="A753" s="452" t="s">
        <v>758</v>
      </c>
      <c r="B753" s="450"/>
      <c r="C753" s="399">
        <v>27379</v>
      </c>
    </row>
    <row r="754" spans="1:3" ht="15.75" customHeight="1">
      <c r="A754" s="452" t="s">
        <v>759</v>
      </c>
      <c r="B754" s="450"/>
      <c r="C754" s="399">
        <v>8337</v>
      </c>
    </row>
    <row r="755" spans="1:3" ht="15.75" customHeight="1">
      <c r="A755" s="452" t="s">
        <v>760</v>
      </c>
      <c r="B755" s="450"/>
      <c r="C755" s="399">
        <v>3371</v>
      </c>
    </row>
    <row r="756" spans="1:3" ht="15.75" customHeight="1">
      <c r="A756" s="452" t="s">
        <v>761</v>
      </c>
      <c r="B756" s="450"/>
      <c r="C756" s="399">
        <v>890</v>
      </c>
    </row>
    <row r="757" spans="1:3" ht="15.75" customHeight="1">
      <c r="A757" s="452" t="s">
        <v>762</v>
      </c>
      <c r="B757" s="450"/>
      <c r="C757" s="399">
        <v>1522</v>
      </c>
    </row>
    <row r="758" spans="1:3" ht="30" customHeight="1">
      <c r="A758" s="452" t="s">
        <v>764</v>
      </c>
      <c r="B758" s="450"/>
      <c r="C758" s="399">
        <v>875</v>
      </c>
    </row>
    <row r="759" spans="1:3" ht="15.75" customHeight="1">
      <c r="A759" s="452" t="s">
        <v>765</v>
      </c>
      <c r="B759" s="450"/>
      <c r="C759" s="399">
        <v>84</v>
      </c>
    </row>
    <row r="760" spans="1:3" ht="15.75" customHeight="1">
      <c r="A760" s="452" t="s">
        <v>768</v>
      </c>
      <c r="B760" s="450"/>
      <c r="C760" s="399">
        <v>600</v>
      </c>
    </row>
    <row r="761" spans="1:3" ht="15.75" customHeight="1">
      <c r="A761" s="452" t="s">
        <v>770</v>
      </c>
      <c r="B761" s="450"/>
      <c r="C761" s="399">
        <v>600</v>
      </c>
    </row>
    <row r="762" spans="1:3" ht="15.75">
      <c r="A762" s="397"/>
      <c r="B762" s="397"/>
      <c r="C762" s="397"/>
    </row>
    <row r="763" spans="1:3" ht="15.75" customHeight="1">
      <c r="A763" s="449" t="s">
        <v>849</v>
      </c>
      <c r="B763" s="450"/>
      <c r="C763" s="450"/>
    </row>
    <row r="764" spans="1:3" ht="15.75" customHeight="1">
      <c r="A764" s="449" t="s">
        <v>756</v>
      </c>
      <c r="B764" s="451"/>
      <c r="C764" s="398">
        <v>1202190</v>
      </c>
    </row>
    <row r="765" spans="1:3" ht="15.75" customHeight="1">
      <c r="A765" s="452" t="s">
        <v>768</v>
      </c>
      <c r="B765" s="450"/>
      <c r="C765" s="399">
        <v>1202190</v>
      </c>
    </row>
    <row r="766" spans="1:3" ht="15.75" customHeight="1">
      <c r="A766" s="452" t="s">
        <v>770</v>
      </c>
      <c r="B766" s="450"/>
      <c r="C766" s="399">
        <v>1202190</v>
      </c>
    </row>
    <row r="767" spans="1:3" ht="15.75">
      <c r="A767" s="397"/>
      <c r="B767" s="397"/>
      <c r="C767" s="397"/>
    </row>
    <row r="768" spans="1:3" ht="15.75" customHeight="1">
      <c r="A768" s="449" t="s">
        <v>850</v>
      </c>
      <c r="B768" s="450"/>
      <c r="C768" s="450"/>
    </row>
    <row r="769" spans="1:3" ht="15.75" customHeight="1">
      <c r="A769" s="449" t="s">
        <v>756</v>
      </c>
      <c r="B769" s="451"/>
      <c r="C769" s="398">
        <v>9897</v>
      </c>
    </row>
    <row r="770" spans="1:3" ht="15.75" customHeight="1">
      <c r="A770" s="452" t="s">
        <v>760</v>
      </c>
      <c r="B770" s="450"/>
      <c r="C770" s="399">
        <v>9897</v>
      </c>
    </row>
    <row r="771" spans="1:3" ht="15.75" customHeight="1">
      <c r="A771" s="452" t="s">
        <v>762</v>
      </c>
      <c r="B771" s="450"/>
      <c r="C771" s="399">
        <v>9897</v>
      </c>
    </row>
    <row r="772" spans="1:3" ht="15.75">
      <c r="A772" s="397"/>
      <c r="B772" s="397"/>
      <c r="C772" s="397"/>
    </row>
    <row r="773" spans="1:3" ht="15.75" customHeight="1">
      <c r="A773" s="449" t="s">
        <v>851</v>
      </c>
      <c r="B773" s="450"/>
      <c r="C773" s="450"/>
    </row>
    <row r="774" spans="1:3" ht="15.75" customHeight="1">
      <c r="A774" s="449" t="s">
        <v>756</v>
      </c>
      <c r="B774" s="451"/>
      <c r="C774" s="398">
        <v>1821691</v>
      </c>
    </row>
    <row r="775" spans="1:3" ht="15.75" customHeight="1">
      <c r="A775" s="452" t="s">
        <v>757</v>
      </c>
      <c r="B775" s="450"/>
      <c r="C775" s="399">
        <v>840737</v>
      </c>
    </row>
    <row r="776" spans="1:3" ht="15.75" customHeight="1">
      <c r="A776" s="452" t="s">
        <v>758</v>
      </c>
      <c r="B776" s="450"/>
      <c r="C776" s="399">
        <v>670795</v>
      </c>
    </row>
    <row r="777" spans="1:3" ht="15.75" customHeight="1">
      <c r="A777" s="452" t="s">
        <v>759</v>
      </c>
      <c r="B777" s="450"/>
      <c r="C777" s="399">
        <v>169942</v>
      </c>
    </row>
    <row r="778" spans="1:3" ht="15.75" customHeight="1">
      <c r="A778" s="452" t="s">
        <v>760</v>
      </c>
      <c r="B778" s="450"/>
      <c r="C778" s="399">
        <v>956954</v>
      </c>
    </row>
    <row r="779" spans="1:3" ht="15.75" customHeight="1">
      <c r="A779" s="452" t="s">
        <v>761</v>
      </c>
      <c r="B779" s="450"/>
      <c r="C779" s="399">
        <v>41587</v>
      </c>
    </row>
    <row r="780" spans="1:3" ht="15.75" customHeight="1">
      <c r="A780" s="452" t="s">
        <v>762</v>
      </c>
      <c r="B780" s="450"/>
      <c r="C780" s="399">
        <v>851236</v>
      </c>
    </row>
    <row r="781" spans="1:3" ht="30" customHeight="1">
      <c r="A781" s="452" t="s">
        <v>764</v>
      </c>
      <c r="B781" s="450"/>
      <c r="C781" s="399">
        <v>62540</v>
      </c>
    </row>
    <row r="782" spans="1:3" ht="15.75" customHeight="1">
      <c r="A782" s="452" t="s">
        <v>765</v>
      </c>
      <c r="B782" s="450"/>
      <c r="C782" s="399">
        <v>1591</v>
      </c>
    </row>
    <row r="783" spans="1:3" ht="15.75" customHeight="1">
      <c r="A783" s="452" t="s">
        <v>768</v>
      </c>
      <c r="B783" s="450"/>
      <c r="C783" s="399">
        <v>24000</v>
      </c>
    </row>
    <row r="784" spans="1:3" ht="15.75" customHeight="1">
      <c r="A784" s="452" t="s">
        <v>770</v>
      </c>
      <c r="B784" s="450"/>
      <c r="C784" s="399">
        <v>24000</v>
      </c>
    </row>
    <row r="785" spans="1:3" ht="15.75" hidden="1">
      <c r="A785" s="397"/>
      <c r="B785" s="397"/>
      <c r="C785" s="397"/>
    </row>
    <row r="786" spans="1:3" ht="15.75" customHeight="1" hidden="1">
      <c r="A786" s="449" t="s">
        <v>852</v>
      </c>
      <c r="B786" s="450"/>
      <c r="C786" s="450"/>
    </row>
    <row r="787" spans="1:3" ht="15.75" customHeight="1" hidden="1">
      <c r="A787" s="452" t="s">
        <v>756</v>
      </c>
      <c r="B787" s="450"/>
      <c r="C787" s="399">
        <v>756767</v>
      </c>
    </row>
    <row r="788" spans="1:3" ht="15.75" customHeight="1" hidden="1">
      <c r="A788" s="452" t="s">
        <v>757</v>
      </c>
      <c r="B788" s="450"/>
      <c r="C788" s="399">
        <v>479506</v>
      </c>
    </row>
    <row r="789" spans="1:3" ht="15.75" customHeight="1" hidden="1">
      <c r="A789" s="452" t="s">
        <v>758</v>
      </c>
      <c r="B789" s="450"/>
      <c r="C789" s="399">
        <v>381881</v>
      </c>
    </row>
    <row r="790" spans="1:3" ht="15.75" customHeight="1" hidden="1">
      <c r="A790" s="452" t="s">
        <v>759</v>
      </c>
      <c r="B790" s="450"/>
      <c r="C790" s="399">
        <v>97625</v>
      </c>
    </row>
    <row r="791" spans="1:3" ht="15.75" customHeight="1" hidden="1">
      <c r="A791" s="452" t="s">
        <v>760</v>
      </c>
      <c r="B791" s="450"/>
      <c r="C791" s="399">
        <v>277261</v>
      </c>
    </row>
    <row r="792" spans="1:3" ht="15.75" customHeight="1" hidden="1">
      <c r="A792" s="452" t="s">
        <v>761</v>
      </c>
      <c r="B792" s="450"/>
      <c r="C792" s="399">
        <v>28100</v>
      </c>
    </row>
    <row r="793" spans="1:3" ht="15.75" customHeight="1" hidden="1">
      <c r="A793" s="452" t="s">
        <v>762</v>
      </c>
      <c r="B793" s="450"/>
      <c r="C793" s="399">
        <v>216780</v>
      </c>
    </row>
    <row r="794" spans="1:3" ht="30" customHeight="1" hidden="1">
      <c r="A794" s="452" t="s">
        <v>764</v>
      </c>
      <c r="B794" s="450"/>
      <c r="C794" s="399">
        <v>31350</v>
      </c>
    </row>
    <row r="795" spans="1:3" ht="15.75" customHeight="1" hidden="1">
      <c r="A795" s="452" t="s">
        <v>765</v>
      </c>
      <c r="B795" s="450"/>
      <c r="C795" s="399">
        <v>1031</v>
      </c>
    </row>
    <row r="796" spans="1:3" ht="15.75" hidden="1">
      <c r="A796" s="397"/>
      <c r="B796" s="397"/>
      <c r="C796" s="397"/>
    </row>
    <row r="797" spans="1:3" ht="15.75" customHeight="1" hidden="1">
      <c r="A797" s="449" t="s">
        <v>853</v>
      </c>
      <c r="B797" s="450"/>
      <c r="C797" s="450"/>
    </row>
    <row r="798" spans="1:3" ht="15.75" customHeight="1" hidden="1">
      <c r="A798" s="452" t="s">
        <v>756</v>
      </c>
      <c r="B798" s="450"/>
      <c r="C798" s="399">
        <v>328129</v>
      </c>
    </row>
    <row r="799" spans="1:3" ht="15.75" customHeight="1" hidden="1">
      <c r="A799" s="452" t="s">
        <v>757</v>
      </c>
      <c r="B799" s="450"/>
      <c r="C799" s="399">
        <v>115058</v>
      </c>
    </row>
    <row r="800" spans="1:3" ht="15.75" customHeight="1" hidden="1">
      <c r="A800" s="452" t="s">
        <v>758</v>
      </c>
      <c r="B800" s="450"/>
      <c r="C800" s="399">
        <v>91434</v>
      </c>
    </row>
    <row r="801" spans="1:3" ht="15.75" customHeight="1" hidden="1">
      <c r="A801" s="452" t="s">
        <v>759</v>
      </c>
      <c r="B801" s="450"/>
      <c r="C801" s="399">
        <v>23624</v>
      </c>
    </row>
    <row r="802" spans="1:3" ht="15.75" customHeight="1" hidden="1">
      <c r="A802" s="452" t="s">
        <v>760</v>
      </c>
      <c r="B802" s="450"/>
      <c r="C802" s="399">
        <v>213071</v>
      </c>
    </row>
    <row r="803" spans="1:3" ht="15.75" customHeight="1" hidden="1">
      <c r="A803" s="452" t="s">
        <v>761</v>
      </c>
      <c r="B803" s="450"/>
      <c r="C803" s="399">
        <v>8300</v>
      </c>
    </row>
    <row r="804" spans="1:3" ht="15.75" customHeight="1" hidden="1">
      <c r="A804" s="452" t="s">
        <v>762</v>
      </c>
      <c r="B804" s="450"/>
      <c r="C804" s="399">
        <v>192421</v>
      </c>
    </row>
    <row r="805" spans="1:3" ht="30" customHeight="1" hidden="1">
      <c r="A805" s="452" t="s">
        <v>764</v>
      </c>
      <c r="B805" s="450"/>
      <c r="C805" s="399">
        <v>11890</v>
      </c>
    </row>
    <row r="806" spans="1:3" ht="15.75" customHeight="1" hidden="1">
      <c r="A806" s="452" t="s">
        <v>765</v>
      </c>
      <c r="B806" s="450"/>
      <c r="C806" s="399">
        <v>460</v>
      </c>
    </row>
    <row r="807" spans="1:3" ht="15.75" hidden="1">
      <c r="A807" s="397"/>
      <c r="B807" s="397"/>
      <c r="C807" s="397"/>
    </row>
    <row r="808" spans="1:3" ht="15.75" customHeight="1" hidden="1">
      <c r="A808" s="449" t="s">
        <v>854</v>
      </c>
      <c r="B808" s="450"/>
      <c r="C808" s="450"/>
    </row>
    <row r="809" spans="1:3" ht="15.75" customHeight="1" hidden="1">
      <c r="A809" s="452" t="s">
        <v>756</v>
      </c>
      <c r="B809" s="450"/>
      <c r="C809" s="399">
        <v>736795</v>
      </c>
    </row>
    <row r="810" spans="1:3" ht="15.75" customHeight="1" hidden="1">
      <c r="A810" s="452" t="s">
        <v>757</v>
      </c>
      <c r="B810" s="450"/>
      <c r="C810" s="399">
        <v>246173</v>
      </c>
    </row>
    <row r="811" spans="1:3" ht="15.75" customHeight="1" hidden="1">
      <c r="A811" s="452" t="s">
        <v>758</v>
      </c>
      <c r="B811" s="450"/>
      <c r="C811" s="399">
        <v>197480</v>
      </c>
    </row>
    <row r="812" spans="1:3" ht="15.75" customHeight="1" hidden="1">
      <c r="A812" s="452" t="s">
        <v>759</v>
      </c>
      <c r="B812" s="450"/>
      <c r="C812" s="399">
        <v>48693</v>
      </c>
    </row>
    <row r="813" spans="1:3" ht="15.75" customHeight="1" hidden="1">
      <c r="A813" s="452" t="s">
        <v>760</v>
      </c>
      <c r="B813" s="450"/>
      <c r="C813" s="399">
        <v>466622</v>
      </c>
    </row>
    <row r="814" spans="1:3" ht="15.75" customHeight="1" hidden="1">
      <c r="A814" s="452" t="s">
        <v>761</v>
      </c>
      <c r="B814" s="450"/>
      <c r="C814" s="399">
        <v>5187</v>
      </c>
    </row>
    <row r="815" spans="1:3" ht="15.75" customHeight="1" hidden="1">
      <c r="A815" s="452" t="s">
        <v>762</v>
      </c>
      <c r="B815" s="450"/>
      <c r="C815" s="399">
        <v>442035</v>
      </c>
    </row>
    <row r="816" spans="1:3" ht="30" customHeight="1" hidden="1">
      <c r="A816" s="452" t="s">
        <v>764</v>
      </c>
      <c r="B816" s="450"/>
      <c r="C816" s="399">
        <v>19300</v>
      </c>
    </row>
    <row r="817" spans="1:3" ht="15.75" customHeight="1" hidden="1">
      <c r="A817" s="452" t="s">
        <v>765</v>
      </c>
      <c r="B817" s="450"/>
      <c r="C817" s="399">
        <v>100</v>
      </c>
    </row>
    <row r="818" spans="1:3" ht="15.75" customHeight="1" hidden="1">
      <c r="A818" s="452" t="s">
        <v>768</v>
      </c>
      <c r="B818" s="450"/>
      <c r="C818" s="399">
        <v>24000</v>
      </c>
    </row>
    <row r="819" spans="1:3" ht="15.75" customHeight="1" hidden="1">
      <c r="A819" s="452" t="s">
        <v>770</v>
      </c>
      <c r="B819" s="450"/>
      <c r="C819" s="399">
        <v>24000</v>
      </c>
    </row>
    <row r="820" spans="1:3" ht="15.75" customHeight="1">
      <c r="A820" s="449" t="s">
        <v>855</v>
      </c>
      <c r="B820" s="450"/>
      <c r="C820" s="450"/>
    </row>
    <row r="821" spans="1:3" ht="15.75" customHeight="1">
      <c r="A821" s="449" t="s">
        <v>756</v>
      </c>
      <c r="B821" s="451"/>
      <c r="C821" s="398">
        <v>2850</v>
      </c>
    </row>
    <row r="822" spans="1:3" ht="15.75" customHeight="1">
      <c r="A822" s="452" t="s">
        <v>791</v>
      </c>
      <c r="B822" s="450"/>
      <c r="C822" s="399">
        <v>2850</v>
      </c>
    </row>
    <row r="823" spans="1:3" ht="15.75" customHeight="1">
      <c r="A823" s="452" t="s">
        <v>792</v>
      </c>
      <c r="B823" s="450"/>
      <c r="C823" s="399">
        <v>2850</v>
      </c>
    </row>
    <row r="824" spans="1:3" ht="15.75">
      <c r="A824" s="397"/>
      <c r="B824" s="397"/>
      <c r="C824" s="397"/>
    </row>
    <row r="825" spans="1:3" ht="15.75" customHeight="1">
      <c r="A825" s="449" t="s">
        <v>856</v>
      </c>
      <c r="B825" s="450"/>
      <c r="C825" s="450"/>
    </row>
    <row r="826" spans="1:3" ht="15.75" customHeight="1">
      <c r="A826" s="449" t="s">
        <v>756</v>
      </c>
      <c r="B826" s="451"/>
      <c r="C826" s="398">
        <v>1425</v>
      </c>
    </row>
    <row r="827" spans="1:3" ht="15.75" customHeight="1">
      <c r="A827" s="452" t="s">
        <v>791</v>
      </c>
      <c r="B827" s="450"/>
      <c r="C827" s="399">
        <v>1425</v>
      </c>
    </row>
    <row r="828" spans="1:3" ht="15.75" customHeight="1">
      <c r="A828" s="452" t="s">
        <v>792</v>
      </c>
      <c r="B828" s="450"/>
      <c r="C828" s="399">
        <v>1425</v>
      </c>
    </row>
    <row r="829" spans="1:3" ht="15.75">
      <c r="A829" s="397"/>
      <c r="B829" s="397"/>
      <c r="C829" s="397"/>
    </row>
    <row r="830" spans="1:3" ht="15.75" customHeight="1">
      <c r="A830" s="449" t="s">
        <v>857</v>
      </c>
      <c r="B830" s="450"/>
      <c r="C830" s="450"/>
    </row>
    <row r="831" spans="1:3" ht="15.75" customHeight="1">
      <c r="A831" s="449" t="s">
        <v>756</v>
      </c>
      <c r="B831" s="451"/>
      <c r="C831" s="398">
        <v>789651</v>
      </c>
    </row>
    <row r="832" spans="1:3" ht="15.75" customHeight="1">
      <c r="A832" s="452" t="s">
        <v>757</v>
      </c>
      <c r="B832" s="450"/>
      <c r="C832" s="399">
        <v>543236</v>
      </c>
    </row>
    <row r="833" spans="1:3" ht="15.75" customHeight="1">
      <c r="A833" s="452" t="s">
        <v>758</v>
      </c>
      <c r="B833" s="450"/>
      <c r="C833" s="399">
        <v>425800</v>
      </c>
    </row>
    <row r="834" spans="1:3" ht="15.75" customHeight="1">
      <c r="A834" s="452" t="s">
        <v>759</v>
      </c>
      <c r="B834" s="450"/>
      <c r="C834" s="399">
        <v>117436</v>
      </c>
    </row>
    <row r="835" spans="1:3" ht="15.75" customHeight="1">
      <c r="A835" s="452" t="s">
        <v>760</v>
      </c>
      <c r="B835" s="450"/>
      <c r="C835" s="399">
        <v>233615</v>
      </c>
    </row>
    <row r="836" spans="1:3" ht="15.75" customHeight="1">
      <c r="A836" s="452" t="s">
        <v>761</v>
      </c>
      <c r="B836" s="450"/>
      <c r="C836" s="399">
        <v>4248</v>
      </c>
    </row>
    <row r="837" spans="1:3" ht="15.75" customHeight="1">
      <c r="A837" s="452" t="s">
        <v>762</v>
      </c>
      <c r="B837" s="450"/>
      <c r="C837" s="399">
        <v>188577</v>
      </c>
    </row>
    <row r="838" spans="1:3" ht="30" customHeight="1">
      <c r="A838" s="452" t="s">
        <v>764</v>
      </c>
      <c r="B838" s="450"/>
      <c r="C838" s="399">
        <v>35290</v>
      </c>
    </row>
    <row r="839" spans="1:3" ht="15.75" customHeight="1">
      <c r="A839" s="452" t="s">
        <v>765</v>
      </c>
      <c r="B839" s="450"/>
      <c r="C839" s="399">
        <v>5500</v>
      </c>
    </row>
    <row r="840" spans="1:3" ht="15.75" customHeight="1">
      <c r="A840" s="452" t="s">
        <v>768</v>
      </c>
      <c r="B840" s="450"/>
      <c r="C840" s="399">
        <v>12800</v>
      </c>
    </row>
    <row r="841" spans="1:3" ht="15.75" customHeight="1">
      <c r="A841" s="452" t="s">
        <v>769</v>
      </c>
      <c r="B841" s="450"/>
      <c r="C841" s="399">
        <v>1800</v>
      </c>
    </row>
    <row r="842" spans="1:3" ht="15.75" customHeight="1">
      <c r="A842" s="452" t="s">
        <v>770</v>
      </c>
      <c r="B842" s="450"/>
      <c r="C842" s="399">
        <v>11000</v>
      </c>
    </row>
    <row r="843" spans="1:3" ht="15.75">
      <c r="A843" s="397"/>
      <c r="B843" s="397"/>
      <c r="C843" s="397"/>
    </row>
    <row r="844" spans="1:3" ht="15.75" customHeight="1">
      <c r="A844" s="449" t="s">
        <v>858</v>
      </c>
      <c r="B844" s="450"/>
      <c r="C844" s="450"/>
    </row>
    <row r="845" spans="1:3" ht="15.75" customHeight="1">
      <c r="A845" s="449" t="s">
        <v>756</v>
      </c>
      <c r="B845" s="451"/>
      <c r="C845" s="398">
        <v>72868</v>
      </c>
    </row>
    <row r="846" spans="1:3" ht="15.75" customHeight="1">
      <c r="A846" s="452" t="s">
        <v>757</v>
      </c>
      <c r="B846" s="450"/>
      <c r="C846" s="399">
        <v>30774</v>
      </c>
    </row>
    <row r="847" spans="1:3" ht="15.75" customHeight="1">
      <c r="A847" s="452" t="s">
        <v>758</v>
      </c>
      <c r="B847" s="450"/>
      <c r="C847" s="399">
        <v>24900</v>
      </c>
    </row>
    <row r="848" spans="1:3" ht="15.75" customHeight="1">
      <c r="A848" s="452" t="s">
        <v>759</v>
      </c>
      <c r="B848" s="450"/>
      <c r="C848" s="399">
        <v>5874</v>
      </c>
    </row>
    <row r="849" spans="1:3" ht="15.75" customHeight="1">
      <c r="A849" s="452" t="s">
        <v>760</v>
      </c>
      <c r="B849" s="450"/>
      <c r="C849" s="399">
        <v>26636</v>
      </c>
    </row>
    <row r="850" spans="1:3" ht="15.75" customHeight="1">
      <c r="A850" s="452" t="s">
        <v>762</v>
      </c>
      <c r="B850" s="450"/>
      <c r="C850" s="399">
        <v>15296</v>
      </c>
    </row>
    <row r="851" spans="1:3" ht="30" customHeight="1">
      <c r="A851" s="452" t="s">
        <v>764</v>
      </c>
      <c r="B851" s="450"/>
      <c r="C851" s="399">
        <v>10840</v>
      </c>
    </row>
    <row r="852" spans="1:3" ht="15.75" customHeight="1">
      <c r="A852" s="452" t="s">
        <v>765</v>
      </c>
      <c r="B852" s="450"/>
      <c r="C852" s="399">
        <v>500</v>
      </c>
    </row>
    <row r="853" spans="1:3" ht="15.75" customHeight="1">
      <c r="A853" s="452" t="s">
        <v>768</v>
      </c>
      <c r="B853" s="450"/>
      <c r="C853" s="399">
        <v>1060</v>
      </c>
    </row>
    <row r="854" spans="1:3" ht="15.75" customHeight="1">
      <c r="A854" s="452" t="s">
        <v>770</v>
      </c>
      <c r="B854" s="450"/>
      <c r="C854" s="399">
        <v>1060</v>
      </c>
    </row>
    <row r="855" spans="1:3" ht="15.75" customHeight="1">
      <c r="A855" s="452" t="s">
        <v>812</v>
      </c>
      <c r="B855" s="450"/>
      <c r="C855" s="399">
        <v>10178</v>
      </c>
    </row>
    <row r="856" spans="1:3" ht="15.75" customHeight="1">
      <c r="A856" s="452" t="s">
        <v>813</v>
      </c>
      <c r="B856" s="450"/>
      <c r="C856" s="399">
        <v>10178</v>
      </c>
    </row>
    <row r="857" spans="1:3" ht="15.75">
      <c r="A857" s="452" t="s">
        <v>771</v>
      </c>
      <c r="B857" s="450"/>
      <c r="C857" s="399">
        <v>4220</v>
      </c>
    </row>
    <row r="858" spans="1:3" ht="15.75" customHeight="1">
      <c r="A858" s="452" t="s">
        <v>837</v>
      </c>
      <c r="B858" s="450"/>
      <c r="C858" s="399">
        <v>4220</v>
      </c>
    </row>
    <row r="859" spans="1:3" ht="15.75">
      <c r="A859" s="397"/>
      <c r="B859" s="397"/>
      <c r="C859" s="397"/>
    </row>
    <row r="860" spans="1:3" ht="15.75" customHeight="1">
      <c r="A860" s="449" t="s">
        <v>859</v>
      </c>
      <c r="B860" s="450"/>
      <c r="C860" s="450"/>
    </row>
    <row r="861" spans="1:3" ht="15.75" customHeight="1">
      <c r="A861" s="449" t="s">
        <v>756</v>
      </c>
      <c r="B861" s="451"/>
      <c r="C861" s="398">
        <v>4785260</v>
      </c>
    </row>
    <row r="862" spans="1:3" ht="15.75" customHeight="1">
      <c r="A862" s="452" t="s">
        <v>757</v>
      </c>
      <c r="B862" s="450"/>
      <c r="C862" s="399">
        <v>2161385</v>
      </c>
    </row>
    <row r="863" spans="1:3" ht="15.75" customHeight="1">
      <c r="A863" s="452" t="s">
        <v>758</v>
      </c>
      <c r="B863" s="450"/>
      <c r="C863" s="399">
        <v>1693971</v>
      </c>
    </row>
    <row r="864" spans="1:3" ht="15.75" customHeight="1">
      <c r="A864" s="452" t="s">
        <v>759</v>
      </c>
      <c r="B864" s="450"/>
      <c r="C864" s="399">
        <v>467414</v>
      </c>
    </row>
    <row r="865" spans="1:3" ht="15.75" customHeight="1">
      <c r="A865" s="452" t="s">
        <v>760</v>
      </c>
      <c r="B865" s="450"/>
      <c r="C865" s="399">
        <v>641730</v>
      </c>
    </row>
    <row r="866" spans="1:3" ht="15.75" customHeight="1">
      <c r="A866" s="452" t="s">
        <v>761</v>
      </c>
      <c r="B866" s="450"/>
      <c r="C866" s="399">
        <v>13432</v>
      </c>
    </row>
    <row r="867" spans="1:3" ht="15.75" customHeight="1">
      <c r="A867" s="452" t="s">
        <v>762</v>
      </c>
      <c r="B867" s="450"/>
      <c r="C867" s="399">
        <v>391306</v>
      </c>
    </row>
    <row r="868" spans="1:3" ht="30" customHeight="1">
      <c r="A868" s="452" t="s">
        <v>764</v>
      </c>
      <c r="B868" s="450"/>
      <c r="C868" s="399">
        <v>236992</v>
      </c>
    </row>
    <row r="869" spans="1:3" ht="15.75" customHeight="1">
      <c r="A869" s="452" t="s">
        <v>768</v>
      </c>
      <c r="B869" s="450"/>
      <c r="C869" s="399">
        <v>28816</v>
      </c>
    </row>
    <row r="870" spans="1:3" ht="15.75" customHeight="1">
      <c r="A870" s="452" t="s">
        <v>769</v>
      </c>
      <c r="B870" s="450"/>
      <c r="C870" s="399">
        <v>420</v>
      </c>
    </row>
    <row r="871" spans="1:3" ht="15.75" customHeight="1">
      <c r="A871" s="452" t="s">
        <v>770</v>
      </c>
      <c r="B871" s="450"/>
      <c r="C871" s="399">
        <v>28396</v>
      </c>
    </row>
    <row r="872" spans="1:3" ht="15.75" customHeight="1">
      <c r="A872" s="452" t="s">
        <v>812</v>
      </c>
      <c r="B872" s="450"/>
      <c r="C872" s="399">
        <v>1953329</v>
      </c>
    </row>
    <row r="873" spans="1:3" ht="15.75" customHeight="1">
      <c r="A873" s="452" t="s">
        <v>813</v>
      </c>
      <c r="B873" s="450"/>
      <c r="C873" s="399">
        <v>821467</v>
      </c>
    </row>
    <row r="874" spans="1:3" ht="15.75" customHeight="1">
      <c r="A874" s="452" t="s">
        <v>814</v>
      </c>
      <c r="B874" s="450"/>
      <c r="C874" s="399">
        <v>648810</v>
      </c>
    </row>
    <row r="875" spans="1:3" ht="15.75" customHeight="1">
      <c r="A875" s="452" t="s">
        <v>860</v>
      </c>
      <c r="B875" s="450"/>
      <c r="C875" s="399">
        <v>483052</v>
      </c>
    </row>
    <row r="876" spans="1:3" ht="15.75">
      <c r="A876" s="397"/>
      <c r="B876" s="397"/>
      <c r="C876" s="397"/>
    </row>
    <row r="877" spans="1:3" ht="15.75" customHeight="1">
      <c r="A877" s="449" t="s">
        <v>905</v>
      </c>
      <c r="B877" s="450"/>
      <c r="C877" s="450"/>
    </row>
    <row r="878" spans="1:3" ht="15.75" customHeight="1">
      <c r="A878" s="449" t="s">
        <v>756</v>
      </c>
      <c r="B878" s="451"/>
      <c r="C878" s="398">
        <v>328822</v>
      </c>
    </row>
    <row r="879" spans="1:3" ht="15.75" customHeight="1">
      <c r="A879" s="452" t="s">
        <v>757</v>
      </c>
      <c r="B879" s="450"/>
      <c r="C879" s="399">
        <v>214338</v>
      </c>
    </row>
    <row r="880" spans="1:3" ht="15.75" customHeight="1">
      <c r="A880" s="452" t="s">
        <v>758</v>
      </c>
      <c r="B880" s="450"/>
      <c r="C880" s="399">
        <v>173958</v>
      </c>
    </row>
    <row r="881" spans="1:3" ht="15.75" customHeight="1">
      <c r="A881" s="452" t="s">
        <v>759</v>
      </c>
      <c r="B881" s="450"/>
      <c r="C881" s="399">
        <v>40380</v>
      </c>
    </row>
    <row r="882" spans="1:3" ht="15.75" customHeight="1">
      <c r="A882" s="452" t="s">
        <v>760</v>
      </c>
      <c r="B882" s="450"/>
      <c r="C882" s="399">
        <v>10694</v>
      </c>
    </row>
    <row r="883" spans="1:3" ht="15.75" customHeight="1">
      <c r="A883" s="452" t="s">
        <v>762</v>
      </c>
      <c r="B883" s="450"/>
      <c r="C883" s="399">
        <v>7181</v>
      </c>
    </row>
    <row r="884" spans="1:3" ht="30" customHeight="1">
      <c r="A884" s="452" t="s">
        <v>764</v>
      </c>
      <c r="B884" s="450"/>
      <c r="C884" s="399">
        <v>3513</v>
      </c>
    </row>
    <row r="885" spans="1:3" ht="15.75" customHeight="1">
      <c r="A885" s="452" t="s">
        <v>768</v>
      </c>
      <c r="B885" s="450"/>
      <c r="C885" s="399">
        <v>8892</v>
      </c>
    </row>
    <row r="886" spans="1:3" ht="15.75" customHeight="1">
      <c r="A886" s="452" t="s">
        <v>770</v>
      </c>
      <c r="B886" s="450"/>
      <c r="C886" s="399">
        <v>8892</v>
      </c>
    </row>
    <row r="887" spans="1:3" ht="15.75" customHeight="1">
      <c r="A887" s="452" t="s">
        <v>812</v>
      </c>
      <c r="B887" s="450"/>
      <c r="C887" s="399">
        <v>94898</v>
      </c>
    </row>
    <row r="888" spans="1:3" ht="15.75" customHeight="1">
      <c r="A888" s="452" t="s">
        <v>813</v>
      </c>
      <c r="B888" s="450"/>
      <c r="C888" s="399">
        <v>44618</v>
      </c>
    </row>
    <row r="889" spans="1:3" ht="15.75" customHeight="1">
      <c r="A889" s="452" t="s">
        <v>814</v>
      </c>
      <c r="B889" s="450"/>
      <c r="C889" s="399">
        <v>23500</v>
      </c>
    </row>
    <row r="890" spans="1:3" ht="15.75" customHeight="1">
      <c r="A890" s="452" t="s">
        <v>860</v>
      </c>
      <c r="B890" s="450"/>
      <c r="C890" s="399">
        <v>26780</v>
      </c>
    </row>
    <row r="891" spans="1:3" ht="15.75">
      <c r="A891" s="397"/>
      <c r="B891" s="397"/>
      <c r="C891" s="397"/>
    </row>
    <row r="892" spans="1:3" ht="15.75" customHeight="1">
      <c r="A892" s="449" t="s">
        <v>861</v>
      </c>
      <c r="B892" s="450"/>
      <c r="C892" s="450"/>
    </row>
    <row r="893" spans="1:3" ht="15.75" customHeight="1">
      <c r="A893" s="449" t="s">
        <v>756</v>
      </c>
      <c r="B893" s="451"/>
      <c r="C893" s="398">
        <v>96684</v>
      </c>
    </row>
    <row r="894" spans="1:3" ht="15.75" customHeight="1">
      <c r="A894" s="452" t="s">
        <v>757</v>
      </c>
      <c r="B894" s="450"/>
      <c r="C894" s="399">
        <v>26413</v>
      </c>
    </row>
    <row r="895" spans="1:3" ht="15.75" customHeight="1">
      <c r="A895" s="452" t="s">
        <v>758</v>
      </c>
      <c r="B895" s="450"/>
      <c r="C895" s="399">
        <v>21371</v>
      </c>
    </row>
    <row r="896" spans="1:3" ht="15.75" customHeight="1">
      <c r="A896" s="452" t="s">
        <v>759</v>
      </c>
      <c r="B896" s="450"/>
      <c r="C896" s="399">
        <v>5042</v>
      </c>
    </row>
    <row r="897" spans="1:3" ht="15.75" customHeight="1">
      <c r="A897" s="452" t="s">
        <v>760</v>
      </c>
      <c r="B897" s="450"/>
      <c r="C897" s="399">
        <v>66141</v>
      </c>
    </row>
    <row r="898" spans="1:3" ht="15.75" customHeight="1">
      <c r="A898" s="452" t="s">
        <v>762</v>
      </c>
      <c r="B898" s="450"/>
      <c r="C898" s="399">
        <v>55975</v>
      </c>
    </row>
    <row r="899" spans="1:3" ht="30" customHeight="1">
      <c r="A899" s="452" t="s">
        <v>764</v>
      </c>
      <c r="B899" s="450"/>
      <c r="C899" s="399">
        <v>10166</v>
      </c>
    </row>
    <row r="900" spans="1:3" ht="15.75" customHeight="1">
      <c r="A900" s="452" t="s">
        <v>768</v>
      </c>
      <c r="B900" s="450"/>
      <c r="C900" s="399">
        <v>4130</v>
      </c>
    </row>
    <row r="901" spans="1:3" ht="15.75" customHeight="1">
      <c r="A901" s="452" t="s">
        <v>770</v>
      </c>
      <c r="B901" s="450"/>
      <c r="C901" s="399">
        <v>4130</v>
      </c>
    </row>
    <row r="902" spans="1:3" ht="15.75">
      <c r="A902" s="397"/>
      <c r="B902" s="397"/>
      <c r="C902" s="397"/>
    </row>
    <row r="903" spans="1:3" ht="15.75" customHeight="1">
      <c r="A903" s="449" t="s">
        <v>862</v>
      </c>
      <c r="B903" s="450"/>
      <c r="C903" s="450"/>
    </row>
    <row r="904" spans="1:3" ht="15.75" customHeight="1">
      <c r="A904" s="449" t="s">
        <v>756</v>
      </c>
      <c r="B904" s="451"/>
      <c r="C904" s="398">
        <v>74189</v>
      </c>
    </row>
    <row r="905" spans="1:3" ht="15.75" customHeight="1">
      <c r="A905" s="452" t="s">
        <v>757</v>
      </c>
      <c r="B905" s="450"/>
      <c r="C905" s="399">
        <v>57039</v>
      </c>
    </row>
    <row r="906" spans="1:3" ht="15.75" customHeight="1">
      <c r="A906" s="452" t="s">
        <v>758</v>
      </c>
      <c r="B906" s="450"/>
      <c r="C906" s="399">
        <v>44587</v>
      </c>
    </row>
    <row r="907" spans="1:3" ht="15.75" customHeight="1">
      <c r="A907" s="452" t="s">
        <v>759</v>
      </c>
      <c r="B907" s="450"/>
      <c r="C907" s="399">
        <v>12452</v>
      </c>
    </row>
    <row r="908" spans="1:3" ht="15.75" customHeight="1">
      <c r="A908" s="452" t="s">
        <v>760</v>
      </c>
      <c r="B908" s="450"/>
      <c r="C908" s="399">
        <v>16200</v>
      </c>
    </row>
    <row r="909" spans="1:3" ht="15.75" customHeight="1">
      <c r="A909" s="452" t="s">
        <v>761</v>
      </c>
      <c r="B909" s="450"/>
      <c r="C909" s="399">
        <v>66</v>
      </c>
    </row>
    <row r="910" spans="1:3" ht="15.75" customHeight="1">
      <c r="A910" s="452" t="s">
        <v>762</v>
      </c>
      <c r="B910" s="450"/>
      <c r="C910" s="399">
        <v>5222</v>
      </c>
    </row>
    <row r="911" spans="1:3" ht="30" customHeight="1">
      <c r="A911" s="452" t="s">
        <v>764</v>
      </c>
      <c r="B911" s="450"/>
      <c r="C911" s="399">
        <v>10912</v>
      </c>
    </row>
    <row r="912" spans="1:3" ht="15.75" customHeight="1">
      <c r="A912" s="452" t="s">
        <v>768</v>
      </c>
      <c r="B912" s="450"/>
      <c r="C912" s="399">
        <v>950</v>
      </c>
    </row>
    <row r="913" spans="1:3" ht="15.75" customHeight="1">
      <c r="A913" s="452" t="s">
        <v>770</v>
      </c>
      <c r="B913" s="450"/>
      <c r="C913" s="399">
        <v>950</v>
      </c>
    </row>
    <row r="914" spans="1:3" ht="15.75">
      <c r="A914" s="397"/>
      <c r="B914" s="397"/>
      <c r="C914" s="397"/>
    </row>
    <row r="915" spans="1:3" ht="15.75" customHeight="1">
      <c r="A915" s="449" t="s">
        <v>863</v>
      </c>
      <c r="B915" s="450"/>
      <c r="C915" s="450"/>
    </row>
    <row r="916" spans="1:3" ht="15.75" customHeight="1">
      <c r="A916" s="449" t="s">
        <v>756</v>
      </c>
      <c r="B916" s="451"/>
      <c r="C916" s="398">
        <v>68253</v>
      </c>
    </row>
    <row r="917" spans="1:3" ht="15.75" customHeight="1">
      <c r="A917" s="452" t="s">
        <v>757</v>
      </c>
      <c r="B917" s="450"/>
      <c r="C917" s="399">
        <v>43102</v>
      </c>
    </row>
    <row r="918" spans="1:3" ht="15.75" customHeight="1">
      <c r="A918" s="452" t="s">
        <v>758</v>
      </c>
      <c r="B918" s="450"/>
      <c r="C918" s="399">
        <v>33625</v>
      </c>
    </row>
    <row r="919" spans="1:3" ht="15.75" customHeight="1">
      <c r="A919" s="452" t="s">
        <v>759</v>
      </c>
      <c r="B919" s="450"/>
      <c r="C919" s="399">
        <v>9477</v>
      </c>
    </row>
    <row r="920" spans="1:3" ht="15.75" customHeight="1">
      <c r="A920" s="452" t="s">
        <v>760</v>
      </c>
      <c r="B920" s="450"/>
      <c r="C920" s="399">
        <v>25151</v>
      </c>
    </row>
    <row r="921" spans="1:3" ht="15.75" customHeight="1">
      <c r="A921" s="452" t="s">
        <v>761</v>
      </c>
      <c r="B921" s="450"/>
      <c r="C921" s="399">
        <v>66</v>
      </c>
    </row>
    <row r="922" spans="1:3" ht="15.75" customHeight="1">
      <c r="A922" s="452" t="s">
        <v>762</v>
      </c>
      <c r="B922" s="450"/>
      <c r="C922" s="399">
        <v>13028</v>
      </c>
    </row>
    <row r="923" spans="1:3" ht="30" customHeight="1">
      <c r="A923" s="452" t="s">
        <v>764</v>
      </c>
      <c r="B923" s="450"/>
      <c r="C923" s="399">
        <v>12057</v>
      </c>
    </row>
    <row r="924" spans="1:3" ht="15.75">
      <c r="A924" s="397"/>
      <c r="B924" s="397"/>
      <c r="C924" s="397"/>
    </row>
    <row r="925" spans="1:3" ht="15.75" customHeight="1">
      <c r="A925" s="449" t="s">
        <v>864</v>
      </c>
      <c r="B925" s="450"/>
      <c r="C925" s="450"/>
    </row>
    <row r="926" spans="1:3" ht="15.75" customHeight="1">
      <c r="A926" s="449" t="s">
        <v>756</v>
      </c>
      <c r="B926" s="451"/>
      <c r="C926" s="398">
        <v>108149</v>
      </c>
    </row>
    <row r="927" spans="1:3" ht="15.75" customHeight="1">
      <c r="A927" s="452" t="s">
        <v>757</v>
      </c>
      <c r="B927" s="450"/>
      <c r="C927" s="399">
        <v>74874</v>
      </c>
    </row>
    <row r="928" spans="1:3" ht="15.75" customHeight="1">
      <c r="A928" s="452" t="s">
        <v>758</v>
      </c>
      <c r="B928" s="450"/>
      <c r="C928" s="399">
        <v>58428</v>
      </c>
    </row>
    <row r="929" spans="1:3" ht="15.75" customHeight="1">
      <c r="A929" s="452" t="s">
        <v>759</v>
      </c>
      <c r="B929" s="450"/>
      <c r="C929" s="399">
        <v>16446</v>
      </c>
    </row>
    <row r="930" spans="1:3" ht="15.75" customHeight="1">
      <c r="A930" s="452" t="s">
        <v>760</v>
      </c>
      <c r="B930" s="450"/>
      <c r="C930" s="399">
        <v>33275</v>
      </c>
    </row>
    <row r="931" spans="1:3" ht="15.75" customHeight="1">
      <c r="A931" s="452" t="s">
        <v>761</v>
      </c>
      <c r="B931" s="450"/>
      <c r="C931" s="399">
        <v>442</v>
      </c>
    </row>
    <row r="932" spans="1:3" ht="15.75" customHeight="1">
      <c r="A932" s="452" t="s">
        <v>762</v>
      </c>
      <c r="B932" s="450"/>
      <c r="C932" s="399">
        <v>23083</v>
      </c>
    </row>
    <row r="933" spans="1:3" ht="30" customHeight="1">
      <c r="A933" s="452" t="s">
        <v>764</v>
      </c>
      <c r="B933" s="450"/>
      <c r="C933" s="399">
        <v>9750</v>
      </c>
    </row>
    <row r="934" spans="1:3" ht="15.75">
      <c r="A934" s="397"/>
      <c r="B934" s="397"/>
      <c r="C934" s="397"/>
    </row>
    <row r="935" spans="1:3" ht="15.75" customHeight="1">
      <c r="A935" s="449" t="s">
        <v>906</v>
      </c>
      <c r="B935" s="450"/>
      <c r="C935" s="450"/>
    </row>
    <row r="936" spans="1:3" ht="15.75" customHeight="1">
      <c r="A936" s="449" t="s">
        <v>756</v>
      </c>
      <c r="B936" s="451"/>
      <c r="C936" s="398">
        <v>241695</v>
      </c>
    </row>
    <row r="937" spans="1:3" ht="15.75" customHeight="1">
      <c r="A937" s="452" t="s">
        <v>757</v>
      </c>
      <c r="B937" s="450"/>
      <c r="C937" s="399">
        <v>217366</v>
      </c>
    </row>
    <row r="938" spans="1:3" ht="15.75" customHeight="1">
      <c r="A938" s="452" t="s">
        <v>758</v>
      </c>
      <c r="B938" s="450"/>
      <c r="C938" s="399">
        <v>169362</v>
      </c>
    </row>
    <row r="939" spans="1:3" ht="15.75" customHeight="1">
      <c r="A939" s="452" t="s">
        <v>759</v>
      </c>
      <c r="B939" s="450"/>
      <c r="C939" s="399">
        <v>48004</v>
      </c>
    </row>
    <row r="940" spans="1:3" ht="15.75" customHeight="1">
      <c r="A940" s="452" t="s">
        <v>760</v>
      </c>
      <c r="B940" s="450"/>
      <c r="C940" s="399">
        <v>24329</v>
      </c>
    </row>
    <row r="941" spans="1:3" ht="15.75" customHeight="1">
      <c r="A941" s="452" t="s">
        <v>761</v>
      </c>
      <c r="B941" s="450"/>
      <c r="C941" s="399">
        <v>220</v>
      </c>
    </row>
    <row r="942" spans="1:3" ht="15.75" customHeight="1">
      <c r="A942" s="452" t="s">
        <v>762</v>
      </c>
      <c r="B942" s="450"/>
      <c r="C942" s="399">
        <v>19885</v>
      </c>
    </row>
    <row r="943" spans="1:3" ht="30" customHeight="1">
      <c r="A943" s="452" t="s">
        <v>764</v>
      </c>
      <c r="B943" s="450"/>
      <c r="C943" s="399">
        <v>4224</v>
      </c>
    </row>
    <row r="944" spans="1:3" ht="15.75">
      <c r="A944" s="397"/>
      <c r="B944" s="397"/>
      <c r="C944" s="397"/>
    </row>
    <row r="945" spans="1:3" ht="15.75" customHeight="1">
      <c r="A945" s="449" t="s">
        <v>865</v>
      </c>
      <c r="B945" s="450"/>
      <c r="C945" s="450"/>
    </row>
    <row r="946" spans="1:3" ht="15.75" customHeight="1">
      <c r="A946" s="449" t="s">
        <v>756</v>
      </c>
      <c r="B946" s="451"/>
      <c r="C946" s="398">
        <v>139246</v>
      </c>
    </row>
    <row r="947" spans="1:3" ht="15.75" customHeight="1">
      <c r="A947" s="452" t="s">
        <v>812</v>
      </c>
      <c r="B947" s="450"/>
      <c r="C947" s="399">
        <v>139246</v>
      </c>
    </row>
    <row r="948" spans="1:3" ht="15.75" customHeight="1">
      <c r="A948" s="452" t="s">
        <v>813</v>
      </c>
      <c r="B948" s="450"/>
      <c r="C948" s="399">
        <v>112000</v>
      </c>
    </row>
    <row r="949" spans="1:3" ht="15.75" customHeight="1">
      <c r="A949" s="452" t="s">
        <v>860</v>
      </c>
      <c r="B949" s="450"/>
      <c r="C949" s="399">
        <v>27246</v>
      </c>
    </row>
    <row r="950" spans="1:3" ht="15.75">
      <c r="A950" s="397"/>
      <c r="B950" s="397"/>
      <c r="C950" s="397"/>
    </row>
    <row r="951" spans="1:3" ht="15.75" customHeight="1">
      <c r="A951" s="449" t="s">
        <v>907</v>
      </c>
      <c r="B951" s="450"/>
      <c r="C951" s="450"/>
    </row>
    <row r="952" spans="1:3" ht="15.75" customHeight="1">
      <c r="A952" s="449" t="s">
        <v>756</v>
      </c>
      <c r="B952" s="451"/>
      <c r="C952" s="398">
        <v>701760</v>
      </c>
    </row>
    <row r="953" spans="1:3" ht="15.75" customHeight="1">
      <c r="A953" s="452" t="s">
        <v>757</v>
      </c>
      <c r="B953" s="450"/>
      <c r="C953" s="399">
        <v>3557</v>
      </c>
    </row>
    <row r="954" spans="1:3" ht="15.75" customHeight="1">
      <c r="A954" s="452" t="s">
        <v>758</v>
      </c>
      <c r="B954" s="450"/>
      <c r="C954" s="399">
        <v>2878</v>
      </c>
    </row>
    <row r="955" spans="1:3" ht="15.75" customHeight="1">
      <c r="A955" s="452" t="s">
        <v>759</v>
      </c>
      <c r="B955" s="450"/>
      <c r="C955" s="399">
        <v>679</v>
      </c>
    </row>
    <row r="956" spans="1:3" ht="15.75" customHeight="1">
      <c r="A956" s="452" t="s">
        <v>812</v>
      </c>
      <c r="B956" s="450"/>
      <c r="C956" s="399">
        <v>698203</v>
      </c>
    </row>
    <row r="957" spans="1:3" ht="15.75" customHeight="1">
      <c r="A957" s="452" t="s">
        <v>813</v>
      </c>
      <c r="B957" s="450"/>
      <c r="C957" s="399">
        <v>168118</v>
      </c>
    </row>
    <row r="958" spans="1:3" ht="15.75" customHeight="1">
      <c r="A958" s="452" t="s">
        <v>814</v>
      </c>
      <c r="B958" s="450"/>
      <c r="C958" s="399">
        <v>132025</v>
      </c>
    </row>
    <row r="959" spans="1:3" ht="15.75" customHeight="1">
      <c r="A959" s="452" t="s">
        <v>860</v>
      </c>
      <c r="B959" s="450"/>
      <c r="C959" s="399">
        <v>398060</v>
      </c>
    </row>
    <row r="960" spans="1:3" ht="15.75">
      <c r="A960" s="397"/>
      <c r="B960" s="397"/>
      <c r="C960" s="397"/>
    </row>
    <row r="961" spans="1:3" ht="15.75" customHeight="1">
      <c r="A961" s="449" t="s">
        <v>866</v>
      </c>
      <c r="B961" s="450"/>
      <c r="C961" s="450"/>
    </row>
    <row r="962" spans="1:3" ht="15.75" customHeight="1">
      <c r="A962" s="449" t="s">
        <v>756</v>
      </c>
      <c r="B962" s="451"/>
      <c r="C962" s="398">
        <v>179037</v>
      </c>
    </row>
    <row r="963" spans="1:3" ht="15.75" customHeight="1">
      <c r="A963" s="452" t="s">
        <v>757</v>
      </c>
      <c r="B963" s="450"/>
      <c r="C963" s="399">
        <v>142999</v>
      </c>
    </row>
    <row r="964" spans="1:3" ht="15.75" customHeight="1">
      <c r="A964" s="452" t="s">
        <v>758</v>
      </c>
      <c r="B964" s="450"/>
      <c r="C964" s="399">
        <v>111269</v>
      </c>
    </row>
    <row r="965" spans="1:3" ht="15.75" customHeight="1">
      <c r="A965" s="452" t="s">
        <v>759</v>
      </c>
      <c r="B965" s="450"/>
      <c r="C965" s="399">
        <v>31730</v>
      </c>
    </row>
    <row r="966" spans="1:3" ht="15.75" customHeight="1">
      <c r="A966" s="452" t="s">
        <v>760</v>
      </c>
      <c r="B966" s="450"/>
      <c r="C966" s="399">
        <v>32437</v>
      </c>
    </row>
    <row r="967" spans="1:3" ht="15.75" customHeight="1">
      <c r="A967" s="452" t="s">
        <v>761</v>
      </c>
      <c r="B967" s="450"/>
      <c r="C967" s="399">
        <v>1423</v>
      </c>
    </row>
    <row r="968" spans="1:3" ht="15.75" customHeight="1">
      <c r="A968" s="452" t="s">
        <v>762</v>
      </c>
      <c r="B968" s="450"/>
      <c r="C968" s="399">
        <v>23754</v>
      </c>
    </row>
    <row r="969" spans="1:3" ht="30" customHeight="1">
      <c r="A969" s="452" t="s">
        <v>764</v>
      </c>
      <c r="B969" s="450"/>
      <c r="C969" s="399">
        <v>7260</v>
      </c>
    </row>
    <row r="970" spans="1:3" ht="15.75" customHeight="1">
      <c r="A970" s="452" t="s">
        <v>768</v>
      </c>
      <c r="B970" s="450"/>
      <c r="C970" s="399">
        <v>3601</v>
      </c>
    </row>
    <row r="971" spans="1:3" ht="15.75" customHeight="1">
      <c r="A971" s="452" t="s">
        <v>770</v>
      </c>
      <c r="B971" s="450"/>
      <c r="C971" s="399">
        <v>3601</v>
      </c>
    </row>
    <row r="972" spans="1:3" ht="15.75">
      <c r="A972" s="397"/>
      <c r="B972" s="397"/>
      <c r="C972" s="397"/>
    </row>
    <row r="973" spans="1:3" ht="28.5" customHeight="1">
      <c r="A973" s="449" t="s">
        <v>867</v>
      </c>
      <c r="B973" s="450"/>
      <c r="C973" s="450"/>
    </row>
    <row r="974" spans="1:3" ht="15.75" customHeight="1">
      <c r="A974" s="449" t="s">
        <v>756</v>
      </c>
      <c r="B974" s="451"/>
      <c r="C974" s="398">
        <v>23376</v>
      </c>
    </row>
    <row r="975" spans="1:3" ht="15.75" customHeight="1">
      <c r="A975" s="452" t="s">
        <v>757</v>
      </c>
      <c r="B975" s="450"/>
      <c r="C975" s="399">
        <v>2538</v>
      </c>
    </row>
    <row r="976" spans="1:3" ht="15.75" customHeight="1">
      <c r="A976" s="452" t="s">
        <v>758</v>
      </c>
      <c r="B976" s="450"/>
      <c r="C976" s="399">
        <v>2053</v>
      </c>
    </row>
    <row r="977" spans="1:3" ht="15.75" customHeight="1">
      <c r="A977" s="452" t="s">
        <v>759</v>
      </c>
      <c r="B977" s="450"/>
      <c r="C977" s="399">
        <v>485</v>
      </c>
    </row>
    <row r="978" spans="1:3" ht="15.75" customHeight="1">
      <c r="A978" s="452" t="s">
        <v>760</v>
      </c>
      <c r="B978" s="450"/>
      <c r="C978" s="399">
        <v>20838</v>
      </c>
    </row>
    <row r="979" spans="1:3" ht="15.75" customHeight="1">
      <c r="A979" s="452" t="s">
        <v>762</v>
      </c>
      <c r="B979" s="450"/>
      <c r="C979" s="399">
        <v>20838</v>
      </c>
    </row>
    <row r="980" spans="1:3" ht="15.75">
      <c r="A980" s="397"/>
      <c r="B980" s="397"/>
      <c r="C980" s="397"/>
    </row>
    <row r="981" spans="1:3" ht="15.75" customHeight="1">
      <c r="A981" s="449" t="s">
        <v>868</v>
      </c>
      <c r="B981" s="450"/>
      <c r="C981" s="450"/>
    </row>
    <row r="982" spans="1:3" ht="15.75" customHeight="1">
      <c r="A982" s="449" t="s">
        <v>756</v>
      </c>
      <c r="B982" s="451"/>
      <c r="C982" s="398">
        <v>55000</v>
      </c>
    </row>
    <row r="983" spans="1:3" ht="15.75" customHeight="1">
      <c r="A983" s="452" t="s">
        <v>757</v>
      </c>
      <c r="B983" s="450"/>
      <c r="C983" s="399">
        <v>1505</v>
      </c>
    </row>
    <row r="984" spans="1:3" ht="15.75" customHeight="1">
      <c r="A984" s="452" t="s">
        <v>758</v>
      </c>
      <c r="B984" s="450"/>
      <c r="C984" s="399">
        <v>1218</v>
      </c>
    </row>
    <row r="985" spans="1:3" ht="15.75" customHeight="1">
      <c r="A985" s="452" t="s">
        <v>759</v>
      </c>
      <c r="B985" s="450"/>
      <c r="C985" s="399">
        <v>287</v>
      </c>
    </row>
    <row r="986" spans="1:3" ht="15.75" customHeight="1">
      <c r="A986" s="452" t="s">
        <v>760</v>
      </c>
      <c r="B986" s="450"/>
      <c r="C986" s="399">
        <v>20000</v>
      </c>
    </row>
    <row r="987" spans="1:3" ht="15.75" customHeight="1">
      <c r="A987" s="452" t="s">
        <v>762</v>
      </c>
      <c r="B987" s="450"/>
      <c r="C987" s="399">
        <v>18000</v>
      </c>
    </row>
    <row r="988" spans="1:3" ht="30" customHeight="1">
      <c r="A988" s="452" t="s">
        <v>764</v>
      </c>
      <c r="B988" s="450"/>
      <c r="C988" s="399">
        <v>2000</v>
      </c>
    </row>
    <row r="989" spans="1:3" ht="15.75" customHeight="1">
      <c r="A989" s="452" t="s">
        <v>812</v>
      </c>
      <c r="B989" s="450"/>
      <c r="C989" s="399">
        <v>33495</v>
      </c>
    </row>
    <row r="990" spans="1:3" ht="15.75" customHeight="1">
      <c r="A990" s="452" t="s">
        <v>813</v>
      </c>
      <c r="B990" s="450"/>
      <c r="C990" s="399">
        <v>33495</v>
      </c>
    </row>
    <row r="991" spans="1:3" ht="15.75">
      <c r="A991" s="397"/>
      <c r="B991" s="397"/>
      <c r="C991" s="397"/>
    </row>
    <row r="992" spans="1:3" ht="15.75" customHeight="1">
      <c r="A992" s="449" t="s">
        <v>869</v>
      </c>
      <c r="B992" s="450"/>
      <c r="C992" s="450"/>
    </row>
    <row r="993" spans="1:3" ht="15.75" customHeight="1">
      <c r="A993" s="449" t="s">
        <v>756</v>
      </c>
      <c r="B993" s="451"/>
      <c r="C993" s="398">
        <v>600000</v>
      </c>
    </row>
    <row r="994" spans="1:3" ht="15.75" customHeight="1">
      <c r="A994" s="452" t="s">
        <v>812</v>
      </c>
      <c r="B994" s="450"/>
      <c r="C994" s="399">
        <v>600000</v>
      </c>
    </row>
    <row r="995" spans="1:3" ht="15.75" customHeight="1">
      <c r="A995" s="452" t="s">
        <v>813</v>
      </c>
      <c r="B995" s="450"/>
      <c r="C995" s="399">
        <v>120000</v>
      </c>
    </row>
    <row r="996" spans="1:3" ht="15.75" customHeight="1">
      <c r="A996" s="452" t="s">
        <v>814</v>
      </c>
      <c r="B996" s="450"/>
      <c r="C996" s="399">
        <v>480000</v>
      </c>
    </row>
    <row r="997" spans="1:3" ht="15.75">
      <c r="A997" s="397"/>
      <c r="B997" s="397"/>
      <c r="C997" s="397"/>
    </row>
    <row r="998" spans="1:3" ht="15.75" customHeight="1">
      <c r="A998" s="449" t="s">
        <v>870</v>
      </c>
      <c r="B998" s="450"/>
      <c r="C998" s="450"/>
    </row>
    <row r="999" spans="1:3" ht="15.75" customHeight="1">
      <c r="A999" s="449" t="s">
        <v>756</v>
      </c>
      <c r="B999" s="451"/>
      <c r="C999" s="398">
        <v>10109</v>
      </c>
    </row>
    <row r="1000" spans="1:3" ht="15.75" customHeight="1">
      <c r="A1000" s="452" t="s">
        <v>760</v>
      </c>
      <c r="B1000" s="450"/>
      <c r="C1000" s="399">
        <v>1824</v>
      </c>
    </row>
    <row r="1001" spans="1:3" ht="15.75" customHeight="1">
      <c r="A1001" s="452" t="s">
        <v>762</v>
      </c>
      <c r="B1001" s="450"/>
      <c r="C1001" s="399">
        <v>1011</v>
      </c>
    </row>
    <row r="1002" spans="1:3" ht="30" customHeight="1">
      <c r="A1002" s="452" t="s">
        <v>764</v>
      </c>
      <c r="B1002" s="450"/>
      <c r="C1002" s="399">
        <v>813</v>
      </c>
    </row>
    <row r="1003" spans="1:3" ht="15.75" customHeight="1">
      <c r="A1003" s="452" t="s">
        <v>812</v>
      </c>
      <c r="B1003" s="450"/>
      <c r="C1003" s="399">
        <v>8285</v>
      </c>
    </row>
    <row r="1004" spans="1:3" ht="15.75" customHeight="1">
      <c r="A1004" s="452" t="s">
        <v>814</v>
      </c>
      <c r="B1004" s="450"/>
      <c r="C1004" s="399">
        <v>8285</v>
      </c>
    </row>
    <row r="1005" spans="1:3" ht="15.75">
      <c r="A1005" s="397"/>
      <c r="B1005" s="397"/>
      <c r="C1005" s="397"/>
    </row>
    <row r="1006" spans="1:3" ht="15.75" customHeight="1">
      <c r="A1006" s="449" t="s">
        <v>871</v>
      </c>
      <c r="B1006" s="450"/>
      <c r="C1006" s="450"/>
    </row>
    <row r="1007" spans="1:3" ht="15.75" customHeight="1">
      <c r="A1007" s="449" t="s">
        <v>756</v>
      </c>
      <c r="B1007" s="451"/>
      <c r="C1007" s="398">
        <v>120966</v>
      </c>
    </row>
    <row r="1008" spans="1:3" ht="15.75" customHeight="1">
      <c r="A1008" s="452" t="s">
        <v>812</v>
      </c>
      <c r="B1008" s="450"/>
      <c r="C1008" s="399">
        <v>120966</v>
      </c>
    </row>
    <row r="1009" spans="1:3" ht="15.75" customHeight="1">
      <c r="A1009" s="452" t="s">
        <v>813</v>
      </c>
      <c r="B1009" s="450"/>
      <c r="C1009" s="399">
        <v>90000</v>
      </c>
    </row>
    <row r="1010" spans="1:3" ht="15.75" customHeight="1">
      <c r="A1010" s="452" t="s">
        <v>860</v>
      </c>
      <c r="B1010" s="450"/>
      <c r="C1010" s="399">
        <v>30966</v>
      </c>
    </row>
    <row r="1011" spans="1:3" ht="15.75">
      <c r="A1011" s="397"/>
      <c r="B1011" s="397"/>
      <c r="C1011" s="397"/>
    </row>
    <row r="1012" spans="1:3" ht="15.75" customHeight="1">
      <c r="A1012" s="449" t="s">
        <v>872</v>
      </c>
      <c r="B1012" s="450"/>
      <c r="C1012" s="450"/>
    </row>
    <row r="1013" spans="1:3" ht="15.75" customHeight="1">
      <c r="A1013" s="449" t="s">
        <v>756</v>
      </c>
      <c r="B1013" s="451"/>
      <c r="C1013" s="398">
        <v>85146</v>
      </c>
    </row>
    <row r="1014" spans="1:3" ht="15.75" customHeight="1">
      <c r="A1014" s="452" t="s">
        <v>757</v>
      </c>
      <c r="B1014" s="450"/>
      <c r="C1014" s="399">
        <v>40480</v>
      </c>
    </row>
    <row r="1015" spans="1:3" ht="15.75" customHeight="1">
      <c r="A1015" s="452" t="s">
        <v>758</v>
      </c>
      <c r="B1015" s="450"/>
      <c r="C1015" s="399">
        <v>31793</v>
      </c>
    </row>
    <row r="1016" spans="1:3" ht="15.75" customHeight="1">
      <c r="A1016" s="452" t="s">
        <v>759</v>
      </c>
      <c r="B1016" s="450"/>
      <c r="C1016" s="399">
        <v>8687</v>
      </c>
    </row>
    <row r="1017" spans="1:3" ht="15.75" customHeight="1">
      <c r="A1017" s="452" t="s">
        <v>760</v>
      </c>
      <c r="B1017" s="450"/>
      <c r="C1017" s="399">
        <v>43716</v>
      </c>
    </row>
    <row r="1018" spans="1:3" ht="15.75" customHeight="1">
      <c r="A1018" s="452" t="s">
        <v>761</v>
      </c>
      <c r="B1018" s="450"/>
      <c r="C1018" s="399">
        <v>193</v>
      </c>
    </row>
    <row r="1019" spans="1:3" ht="15.75" customHeight="1">
      <c r="A1019" s="452" t="s">
        <v>762</v>
      </c>
      <c r="B1019" s="450"/>
      <c r="C1019" s="399">
        <v>20084</v>
      </c>
    </row>
    <row r="1020" spans="1:3" ht="30" customHeight="1">
      <c r="A1020" s="452" t="s">
        <v>764</v>
      </c>
      <c r="B1020" s="450"/>
      <c r="C1020" s="399">
        <v>23439</v>
      </c>
    </row>
    <row r="1021" spans="1:3" ht="15.75" customHeight="1">
      <c r="A1021" s="452" t="s">
        <v>768</v>
      </c>
      <c r="B1021" s="450"/>
      <c r="C1021" s="399">
        <v>950</v>
      </c>
    </row>
    <row r="1022" spans="1:3" ht="15.75" customHeight="1">
      <c r="A1022" s="452" t="s">
        <v>770</v>
      </c>
      <c r="B1022" s="450"/>
      <c r="C1022" s="399">
        <v>950</v>
      </c>
    </row>
    <row r="1023" spans="1:3" ht="15.75">
      <c r="A1023" s="397"/>
      <c r="B1023" s="397"/>
      <c r="C1023" s="397"/>
    </row>
    <row r="1024" spans="1:3" ht="15.75" customHeight="1">
      <c r="A1024" s="449" t="s">
        <v>873</v>
      </c>
      <c r="B1024" s="450"/>
      <c r="C1024" s="450"/>
    </row>
    <row r="1025" spans="1:3" ht="15.75" customHeight="1">
      <c r="A1025" s="449" t="s">
        <v>756</v>
      </c>
      <c r="B1025" s="451"/>
      <c r="C1025" s="398">
        <v>640529</v>
      </c>
    </row>
    <row r="1026" spans="1:3" ht="15.75" customHeight="1">
      <c r="A1026" s="452" t="s">
        <v>757</v>
      </c>
      <c r="B1026" s="450"/>
      <c r="C1026" s="399">
        <v>461672</v>
      </c>
    </row>
    <row r="1027" spans="1:3" ht="15.75" customHeight="1">
      <c r="A1027" s="452" t="s">
        <v>758</v>
      </c>
      <c r="B1027" s="450"/>
      <c r="C1027" s="399">
        <v>361626</v>
      </c>
    </row>
    <row r="1028" spans="1:3" ht="15.75" customHeight="1">
      <c r="A1028" s="452" t="s">
        <v>759</v>
      </c>
      <c r="B1028" s="450"/>
      <c r="C1028" s="399">
        <v>100046</v>
      </c>
    </row>
    <row r="1029" spans="1:3" ht="15.75" customHeight="1">
      <c r="A1029" s="452" t="s">
        <v>760</v>
      </c>
      <c r="B1029" s="450"/>
      <c r="C1029" s="399">
        <v>176098</v>
      </c>
    </row>
    <row r="1030" spans="1:3" ht="15.75" customHeight="1">
      <c r="A1030" s="452" t="s">
        <v>761</v>
      </c>
      <c r="B1030" s="450"/>
      <c r="C1030" s="399">
        <v>1921</v>
      </c>
    </row>
    <row r="1031" spans="1:3" ht="15.75" customHeight="1">
      <c r="A1031" s="452" t="s">
        <v>762</v>
      </c>
      <c r="B1031" s="450"/>
      <c r="C1031" s="399">
        <v>72737</v>
      </c>
    </row>
    <row r="1032" spans="1:3" ht="30" customHeight="1">
      <c r="A1032" s="452" t="s">
        <v>764</v>
      </c>
      <c r="B1032" s="450"/>
      <c r="C1032" s="399">
        <v>101440</v>
      </c>
    </row>
    <row r="1033" spans="1:3" ht="15.75" customHeight="1">
      <c r="A1033" s="452" t="s">
        <v>768</v>
      </c>
      <c r="B1033" s="450"/>
      <c r="C1033" s="399">
        <v>723</v>
      </c>
    </row>
    <row r="1034" spans="1:3" ht="15.75" customHeight="1">
      <c r="A1034" s="452" t="s">
        <v>770</v>
      </c>
      <c r="B1034" s="450"/>
      <c r="C1034" s="399">
        <v>723</v>
      </c>
    </row>
    <row r="1035" spans="1:3" ht="15.75" customHeight="1">
      <c r="A1035" s="452" t="s">
        <v>812</v>
      </c>
      <c r="B1035" s="450"/>
      <c r="C1035" s="399">
        <v>2036</v>
      </c>
    </row>
    <row r="1036" spans="1:3" ht="15.75" customHeight="1">
      <c r="A1036" s="452" t="s">
        <v>813</v>
      </c>
      <c r="B1036" s="450"/>
      <c r="C1036" s="399">
        <v>2036</v>
      </c>
    </row>
    <row r="1037" spans="1:3" ht="15.75">
      <c r="A1037" s="397"/>
      <c r="B1037" s="397"/>
      <c r="C1037" s="397"/>
    </row>
    <row r="1038" spans="1:3" ht="15.75" customHeight="1">
      <c r="A1038" s="449" t="s">
        <v>874</v>
      </c>
      <c r="B1038" s="450"/>
      <c r="C1038" s="450"/>
    </row>
    <row r="1039" spans="1:3" ht="15.75" customHeight="1">
      <c r="A1039" s="449" t="s">
        <v>756</v>
      </c>
      <c r="B1039" s="451"/>
      <c r="C1039" s="398">
        <v>14783</v>
      </c>
    </row>
    <row r="1040" spans="1:3" ht="15.75" customHeight="1">
      <c r="A1040" s="452" t="s">
        <v>757</v>
      </c>
      <c r="B1040" s="450"/>
      <c r="C1040" s="399">
        <v>6579</v>
      </c>
    </row>
    <row r="1041" spans="1:3" ht="15.75" customHeight="1">
      <c r="A1041" s="452" t="s">
        <v>758</v>
      </c>
      <c r="B1041" s="450"/>
      <c r="C1041" s="399">
        <v>5137</v>
      </c>
    </row>
    <row r="1042" spans="1:3" ht="15.75" customHeight="1">
      <c r="A1042" s="452" t="s">
        <v>759</v>
      </c>
      <c r="B1042" s="450"/>
      <c r="C1042" s="399">
        <v>1442</v>
      </c>
    </row>
    <row r="1043" spans="1:3" ht="15.75" customHeight="1">
      <c r="A1043" s="452" t="s">
        <v>760</v>
      </c>
      <c r="B1043" s="450"/>
      <c r="C1043" s="399">
        <v>7854</v>
      </c>
    </row>
    <row r="1044" spans="1:3" ht="15.75" customHeight="1">
      <c r="A1044" s="452" t="s">
        <v>762</v>
      </c>
      <c r="B1044" s="450"/>
      <c r="C1044" s="399">
        <v>6345</v>
      </c>
    </row>
    <row r="1045" spans="1:3" ht="30" customHeight="1">
      <c r="A1045" s="452" t="s">
        <v>764</v>
      </c>
      <c r="B1045" s="450"/>
      <c r="C1045" s="399">
        <v>1509</v>
      </c>
    </row>
    <row r="1046" spans="1:3" ht="15.75" customHeight="1">
      <c r="A1046" s="452" t="s">
        <v>768</v>
      </c>
      <c r="B1046" s="450"/>
      <c r="C1046" s="399">
        <v>350</v>
      </c>
    </row>
    <row r="1047" spans="1:3" ht="15.75" customHeight="1">
      <c r="A1047" s="452" t="s">
        <v>770</v>
      </c>
      <c r="B1047" s="450"/>
      <c r="C1047" s="399">
        <v>350</v>
      </c>
    </row>
    <row r="1048" spans="1:3" ht="15.75">
      <c r="A1048" s="397"/>
      <c r="B1048" s="397"/>
      <c r="C1048" s="397"/>
    </row>
    <row r="1049" spans="1:3" ht="15.75" customHeight="1">
      <c r="A1049" s="449" t="s">
        <v>875</v>
      </c>
      <c r="B1049" s="450"/>
      <c r="C1049" s="450"/>
    </row>
    <row r="1050" spans="1:3" ht="15.75" customHeight="1">
      <c r="A1050" s="449" t="s">
        <v>756</v>
      </c>
      <c r="B1050" s="451"/>
      <c r="C1050" s="398">
        <v>88478</v>
      </c>
    </row>
    <row r="1051" spans="1:3" ht="15.75" customHeight="1">
      <c r="A1051" s="452" t="s">
        <v>757</v>
      </c>
      <c r="B1051" s="450"/>
      <c r="C1051" s="399">
        <v>62023</v>
      </c>
    </row>
    <row r="1052" spans="1:3" ht="15.75" customHeight="1">
      <c r="A1052" s="452" t="s">
        <v>758</v>
      </c>
      <c r="B1052" s="450"/>
      <c r="C1052" s="399">
        <v>48590</v>
      </c>
    </row>
    <row r="1053" spans="1:3" ht="15.75" customHeight="1">
      <c r="A1053" s="452" t="s">
        <v>759</v>
      </c>
      <c r="B1053" s="450"/>
      <c r="C1053" s="399">
        <v>13433</v>
      </c>
    </row>
    <row r="1054" spans="1:3" ht="15.75" customHeight="1">
      <c r="A1054" s="452" t="s">
        <v>760</v>
      </c>
      <c r="B1054" s="450"/>
      <c r="C1054" s="399">
        <v>26455</v>
      </c>
    </row>
    <row r="1055" spans="1:3" ht="15.75" customHeight="1">
      <c r="A1055" s="452" t="s">
        <v>761</v>
      </c>
      <c r="B1055" s="450"/>
      <c r="C1055" s="399">
        <v>228</v>
      </c>
    </row>
    <row r="1056" spans="1:3" ht="15.75" customHeight="1">
      <c r="A1056" s="452" t="s">
        <v>762</v>
      </c>
      <c r="B1056" s="450"/>
      <c r="C1056" s="399">
        <v>9468</v>
      </c>
    </row>
    <row r="1057" spans="1:3" ht="30" customHeight="1">
      <c r="A1057" s="452" t="s">
        <v>764</v>
      </c>
      <c r="B1057" s="450"/>
      <c r="C1057" s="399">
        <v>16759</v>
      </c>
    </row>
    <row r="1058" spans="1:3" ht="15.75">
      <c r="A1058" s="397"/>
      <c r="B1058" s="397"/>
      <c r="C1058" s="397"/>
    </row>
    <row r="1059" spans="1:3" ht="15.75" customHeight="1">
      <c r="A1059" s="449" t="s">
        <v>876</v>
      </c>
      <c r="B1059" s="450"/>
      <c r="C1059" s="450"/>
    </row>
    <row r="1060" spans="1:3" ht="15.75" customHeight="1">
      <c r="A1060" s="449" t="s">
        <v>756</v>
      </c>
      <c r="B1060" s="451"/>
      <c r="C1060" s="398">
        <v>951976</v>
      </c>
    </row>
    <row r="1061" spans="1:3" ht="15.75" customHeight="1">
      <c r="A1061" s="452" t="s">
        <v>757</v>
      </c>
      <c r="B1061" s="450"/>
      <c r="C1061" s="399">
        <v>806038</v>
      </c>
    </row>
    <row r="1062" spans="1:3" ht="15.75" customHeight="1">
      <c r="A1062" s="452" t="s">
        <v>758</v>
      </c>
      <c r="B1062" s="450"/>
      <c r="C1062" s="399">
        <v>627379</v>
      </c>
    </row>
    <row r="1063" spans="1:3" ht="15.75" customHeight="1">
      <c r="A1063" s="452" t="s">
        <v>759</v>
      </c>
      <c r="B1063" s="450"/>
      <c r="C1063" s="399">
        <v>178659</v>
      </c>
    </row>
    <row r="1064" spans="1:3" ht="15.75" customHeight="1">
      <c r="A1064" s="452" t="s">
        <v>760</v>
      </c>
      <c r="B1064" s="450"/>
      <c r="C1064" s="399">
        <v>136718</v>
      </c>
    </row>
    <row r="1065" spans="1:3" ht="15.75" customHeight="1">
      <c r="A1065" s="452" t="s">
        <v>761</v>
      </c>
      <c r="B1065" s="450"/>
      <c r="C1065" s="399">
        <v>8873</v>
      </c>
    </row>
    <row r="1066" spans="1:3" ht="15.75" customHeight="1">
      <c r="A1066" s="452" t="s">
        <v>762</v>
      </c>
      <c r="B1066" s="450"/>
      <c r="C1066" s="399">
        <v>94695</v>
      </c>
    </row>
    <row r="1067" spans="1:3" ht="30" customHeight="1">
      <c r="A1067" s="452" t="s">
        <v>764</v>
      </c>
      <c r="B1067" s="450"/>
      <c r="C1067" s="399">
        <v>33150</v>
      </c>
    </row>
    <row r="1068" spans="1:3" ht="15.75" customHeight="1">
      <c r="A1068" s="452" t="s">
        <v>768</v>
      </c>
      <c r="B1068" s="450"/>
      <c r="C1068" s="399">
        <v>9220</v>
      </c>
    </row>
    <row r="1069" spans="1:3" ht="15.75" customHeight="1">
      <c r="A1069" s="452" t="s">
        <v>769</v>
      </c>
      <c r="B1069" s="450"/>
      <c r="C1069" s="399">
        <v>420</v>
      </c>
    </row>
    <row r="1070" spans="1:3" ht="15.75" customHeight="1">
      <c r="A1070" s="452" t="s">
        <v>770</v>
      </c>
      <c r="B1070" s="450"/>
      <c r="C1070" s="399">
        <v>8800</v>
      </c>
    </row>
    <row r="1071" spans="1:3" ht="15.75">
      <c r="A1071" s="397"/>
      <c r="B1071" s="397"/>
      <c r="C1071" s="397"/>
    </row>
    <row r="1072" spans="1:3" ht="15.75" customHeight="1">
      <c r="A1072" s="449" t="s">
        <v>877</v>
      </c>
      <c r="B1072" s="450"/>
      <c r="C1072" s="450"/>
    </row>
    <row r="1073" spans="1:3" ht="15.75" customHeight="1">
      <c r="A1073" s="449" t="s">
        <v>756</v>
      </c>
      <c r="B1073" s="451"/>
      <c r="C1073" s="398">
        <v>862</v>
      </c>
    </row>
    <row r="1074" spans="1:3" ht="15.75" customHeight="1">
      <c r="A1074" s="452" t="s">
        <v>757</v>
      </c>
      <c r="B1074" s="450"/>
      <c r="C1074" s="399">
        <v>862</v>
      </c>
    </row>
    <row r="1075" spans="1:3" ht="15.75" customHeight="1">
      <c r="A1075" s="452" t="s">
        <v>758</v>
      </c>
      <c r="B1075" s="450"/>
      <c r="C1075" s="399">
        <v>697</v>
      </c>
    </row>
    <row r="1076" spans="1:3" ht="15.75" customHeight="1">
      <c r="A1076" s="452" t="s">
        <v>759</v>
      </c>
      <c r="B1076" s="450"/>
      <c r="C1076" s="399">
        <v>165</v>
      </c>
    </row>
    <row r="1077" spans="1:3" ht="15.75">
      <c r="A1077" s="397"/>
      <c r="B1077" s="397"/>
      <c r="C1077" s="397"/>
    </row>
    <row r="1078" spans="1:3" ht="15.75" customHeight="1">
      <c r="A1078" s="449" t="s">
        <v>878</v>
      </c>
      <c r="B1078" s="450"/>
      <c r="C1078" s="450"/>
    </row>
    <row r="1079" spans="1:3" ht="15.75" customHeight="1">
      <c r="A1079" s="449" t="s">
        <v>756</v>
      </c>
      <c r="B1079" s="451"/>
      <c r="C1079" s="398">
        <v>11200</v>
      </c>
    </row>
    <row r="1080" spans="1:3" ht="15.75" customHeight="1">
      <c r="A1080" s="452" t="s">
        <v>812</v>
      </c>
      <c r="B1080" s="450"/>
      <c r="C1080" s="399">
        <v>11200</v>
      </c>
    </row>
    <row r="1081" spans="1:3" ht="15.75" customHeight="1">
      <c r="A1081" s="452" t="s">
        <v>813</v>
      </c>
      <c r="B1081" s="450"/>
      <c r="C1081" s="399">
        <v>6200</v>
      </c>
    </row>
    <row r="1082" spans="1:3" ht="15.75" customHeight="1">
      <c r="A1082" s="452" t="s">
        <v>814</v>
      </c>
      <c r="B1082" s="450"/>
      <c r="C1082" s="399">
        <v>5000</v>
      </c>
    </row>
    <row r="1083" spans="1:3" ht="15.75">
      <c r="A1083" s="397"/>
      <c r="B1083" s="397"/>
      <c r="C1083" s="397"/>
    </row>
    <row r="1084" spans="1:3" ht="15.75" customHeight="1">
      <c r="A1084" s="449" t="s">
        <v>879</v>
      </c>
      <c r="B1084" s="450"/>
      <c r="C1084" s="450"/>
    </row>
    <row r="1085" spans="1:3" ht="15.75" customHeight="1">
      <c r="A1085" s="449" t="s">
        <v>756</v>
      </c>
      <c r="B1085" s="451"/>
      <c r="C1085" s="398">
        <v>245000</v>
      </c>
    </row>
    <row r="1086" spans="1:3" ht="15.75" customHeight="1">
      <c r="A1086" s="452" t="s">
        <v>812</v>
      </c>
      <c r="B1086" s="450"/>
      <c r="C1086" s="399">
        <v>245000</v>
      </c>
    </row>
    <row r="1087" spans="1:3" ht="15.75" customHeight="1">
      <c r="A1087" s="452" t="s">
        <v>813</v>
      </c>
      <c r="B1087" s="450"/>
      <c r="C1087" s="399">
        <v>245000</v>
      </c>
    </row>
    <row r="1088" spans="1:3" ht="15.75">
      <c r="A1088" s="397"/>
      <c r="B1088" s="397"/>
      <c r="C1088" s="397"/>
    </row>
    <row r="1089" spans="1:3" ht="15.75" customHeight="1">
      <c r="A1089" s="449" t="s">
        <v>880</v>
      </c>
      <c r="B1089" s="450"/>
      <c r="C1089" s="450"/>
    </row>
    <row r="1090" spans="1:3" ht="15.75" customHeight="1">
      <c r="A1090" s="449" t="s">
        <v>756</v>
      </c>
      <c r="B1090" s="451"/>
      <c r="C1090" s="398">
        <v>4926440</v>
      </c>
    </row>
    <row r="1091" spans="1:3" ht="15.75" customHeight="1">
      <c r="A1091" s="452" t="s">
        <v>881</v>
      </c>
      <c r="B1091" s="450"/>
      <c r="C1091" s="399">
        <v>4926440</v>
      </c>
    </row>
    <row r="1092" spans="1:3" ht="15.75">
      <c r="A1092" s="397"/>
      <c r="B1092" s="397"/>
      <c r="C1092" s="397"/>
    </row>
    <row r="1093" spans="1:3" ht="15.75" customHeight="1">
      <c r="A1093" s="449" t="s">
        <v>167</v>
      </c>
      <c r="B1093" s="450"/>
      <c r="C1093" s="450"/>
    </row>
    <row r="1094" spans="1:3" ht="15.75" customHeight="1">
      <c r="A1094" s="449" t="s">
        <v>756</v>
      </c>
      <c r="B1094" s="451"/>
      <c r="C1094" s="405">
        <v>556267</v>
      </c>
    </row>
    <row r="1095" spans="1:3" ht="15.75" customHeight="1">
      <c r="A1095" s="452" t="s">
        <v>882</v>
      </c>
      <c r="B1095" s="450"/>
      <c r="C1095" s="404">
        <v>556267</v>
      </c>
    </row>
    <row r="1096" spans="1:3" ht="15.75">
      <c r="A1096" s="397"/>
      <c r="B1096" s="397"/>
      <c r="C1096" s="397"/>
    </row>
    <row r="1097" spans="1:3" ht="15.75" customHeight="1">
      <c r="A1097" s="455" t="s">
        <v>883</v>
      </c>
      <c r="B1097" s="456"/>
      <c r="C1097" s="456"/>
    </row>
    <row r="1098" spans="1:3" ht="15.75" customHeight="1">
      <c r="A1098" s="457" t="s">
        <v>882</v>
      </c>
      <c r="B1098" s="456"/>
      <c r="C1098" s="406">
        <v>491267</v>
      </c>
    </row>
    <row r="1099" spans="1:3" ht="15.75">
      <c r="A1099" s="407"/>
      <c r="B1099" s="407"/>
      <c r="C1099" s="407"/>
    </row>
    <row r="1100" spans="1:3" ht="15.75">
      <c r="A1100" s="458" t="s">
        <v>912</v>
      </c>
      <c r="B1100" s="458"/>
      <c r="C1100" s="458"/>
    </row>
    <row r="1101" spans="1:3" ht="15.75">
      <c r="A1101" s="459" t="s">
        <v>882</v>
      </c>
      <c r="B1101" s="459"/>
      <c r="C1101" s="408">
        <v>50000</v>
      </c>
    </row>
    <row r="1102" spans="1:3" ht="15.75">
      <c r="A1102" s="409"/>
      <c r="B1102" s="409"/>
      <c r="C1102" s="409"/>
    </row>
    <row r="1103" spans="1:3" ht="15.75">
      <c r="A1103" s="458" t="s">
        <v>913</v>
      </c>
      <c r="B1103" s="458"/>
      <c r="C1103" s="458"/>
    </row>
    <row r="1104" spans="1:3" ht="15.75">
      <c r="A1104" s="459" t="s">
        <v>882</v>
      </c>
      <c r="B1104" s="459"/>
      <c r="C1104" s="408">
        <v>15000</v>
      </c>
    </row>
    <row r="1105" spans="1:3" ht="15.75">
      <c r="A1105" s="397"/>
      <c r="B1105" s="397"/>
      <c r="C1105" s="397"/>
    </row>
    <row r="1106" spans="1:3" ht="15.75" customHeight="1">
      <c r="A1106" s="449" t="s">
        <v>450</v>
      </c>
      <c r="B1106" s="450"/>
      <c r="C1106" s="450"/>
    </row>
    <row r="1107" spans="1:3" ht="15.75" customHeight="1">
      <c r="A1107" s="452" t="s">
        <v>884</v>
      </c>
      <c r="B1107" s="450"/>
      <c r="C1107" s="398">
        <v>600000</v>
      </c>
    </row>
    <row r="1108" spans="1:3" ht="15.75" customHeight="1">
      <c r="A1108" s="402"/>
      <c r="B1108" s="403"/>
      <c r="C1108" s="398"/>
    </row>
    <row r="1109" spans="1:3" ht="15.75" customHeight="1">
      <c r="A1109" s="402"/>
      <c r="B1109" s="403"/>
      <c r="C1109" s="398"/>
    </row>
    <row r="1110" spans="1:3" ht="15.75" customHeight="1">
      <c r="A1110" s="449" t="s">
        <v>885</v>
      </c>
      <c r="B1110" s="450"/>
      <c r="C1110" s="450"/>
    </row>
    <row r="1111" spans="1:3" ht="15.75" customHeight="1">
      <c r="A1111" s="449" t="s">
        <v>756</v>
      </c>
      <c r="B1111" s="451"/>
      <c r="C1111" s="398">
        <v>57066563</v>
      </c>
    </row>
    <row r="1112" spans="1:3" ht="15.75" customHeight="1">
      <c r="A1112" s="447" t="s">
        <v>757</v>
      </c>
      <c r="B1112" s="447"/>
      <c r="C1112" s="411">
        <v>25162121</v>
      </c>
    </row>
    <row r="1113" spans="1:3" ht="15.75" customHeight="1">
      <c r="A1113" s="448" t="s">
        <v>758</v>
      </c>
      <c r="B1113" s="448"/>
      <c r="C1113" s="412">
        <v>19598804</v>
      </c>
    </row>
    <row r="1114" spans="1:3" ht="15.75" customHeight="1">
      <c r="A1114" s="448" t="s">
        <v>759</v>
      </c>
      <c r="B1114" s="448"/>
      <c r="C1114" s="412">
        <v>5563317</v>
      </c>
    </row>
    <row r="1115" spans="1:3" ht="15.75" customHeight="1">
      <c r="A1115" s="447" t="s">
        <v>760</v>
      </c>
      <c r="B1115" s="447"/>
      <c r="C1115" s="411">
        <v>14430774</v>
      </c>
    </row>
    <row r="1116" spans="1:3" ht="15.75" customHeight="1">
      <c r="A1116" s="448" t="s">
        <v>761</v>
      </c>
      <c r="B1116" s="448"/>
      <c r="C1116" s="412">
        <v>201827</v>
      </c>
    </row>
    <row r="1117" spans="1:3" ht="15.75" customHeight="1">
      <c r="A1117" s="448" t="s">
        <v>762</v>
      </c>
      <c r="B1117" s="448"/>
      <c r="C1117" s="412">
        <v>10854542</v>
      </c>
    </row>
    <row r="1118" spans="1:3" ht="15.75" customHeight="1">
      <c r="A1118" s="448" t="s">
        <v>763</v>
      </c>
      <c r="B1118" s="448"/>
      <c r="C1118" s="412">
        <v>372681</v>
      </c>
    </row>
    <row r="1119" spans="1:3" ht="30" customHeight="1">
      <c r="A1119" s="448" t="s">
        <v>764</v>
      </c>
      <c r="B1119" s="448"/>
      <c r="C1119" s="412">
        <v>3161745</v>
      </c>
    </row>
    <row r="1120" spans="1:3" ht="15.75" customHeight="1">
      <c r="A1120" s="448" t="s">
        <v>820</v>
      </c>
      <c r="B1120" s="448"/>
      <c r="C1120" s="412">
        <v>18530</v>
      </c>
    </row>
    <row r="1121" spans="1:3" ht="15.75" customHeight="1">
      <c r="A1121" s="448" t="s">
        <v>765</v>
      </c>
      <c r="B1121" s="448"/>
      <c r="C1121" s="412">
        <v>194130</v>
      </c>
    </row>
    <row r="1122" spans="1:3" ht="15.75" customHeight="1">
      <c r="A1122" s="447" t="s">
        <v>791</v>
      </c>
      <c r="B1122" s="447"/>
      <c r="C1122" s="411">
        <v>3998244</v>
      </c>
    </row>
    <row r="1123" spans="1:3" ht="15.75" customHeight="1">
      <c r="A1123" s="448" t="s">
        <v>792</v>
      </c>
      <c r="B1123" s="448"/>
      <c r="C1123" s="412">
        <v>2681274</v>
      </c>
    </row>
    <row r="1124" spans="1:3" ht="30" customHeight="1">
      <c r="A1124" s="448" t="s">
        <v>793</v>
      </c>
      <c r="B1124" s="448"/>
      <c r="C1124" s="412">
        <v>1316970</v>
      </c>
    </row>
    <row r="1125" spans="1:3" ht="15.75" customHeight="1">
      <c r="A1125" s="447" t="s">
        <v>766</v>
      </c>
      <c r="B1125" s="447"/>
      <c r="C1125" s="411">
        <v>150000</v>
      </c>
    </row>
    <row r="1126" spans="1:3" ht="15.75" customHeight="1">
      <c r="A1126" s="448" t="s">
        <v>767</v>
      </c>
      <c r="B1126" s="448"/>
      <c r="C1126" s="412">
        <v>150000</v>
      </c>
    </row>
    <row r="1127" spans="1:3" ht="15.75" customHeight="1">
      <c r="A1127" s="447" t="s">
        <v>768</v>
      </c>
      <c r="B1127" s="447"/>
      <c r="C1127" s="411">
        <v>3918042</v>
      </c>
    </row>
    <row r="1128" spans="1:3" ht="15.75" customHeight="1">
      <c r="A1128" s="448" t="s">
        <v>769</v>
      </c>
      <c r="B1128" s="448"/>
      <c r="C1128" s="412">
        <v>115366</v>
      </c>
    </row>
    <row r="1129" spans="1:3" ht="15.75" customHeight="1">
      <c r="A1129" s="448" t="s">
        <v>770</v>
      </c>
      <c r="B1129" s="448"/>
      <c r="C1129" s="412">
        <v>3802676</v>
      </c>
    </row>
    <row r="1130" spans="1:3" ht="15.75" customHeight="1">
      <c r="A1130" s="447" t="s">
        <v>812</v>
      </c>
      <c r="B1130" s="447"/>
      <c r="C1130" s="411">
        <v>2302829</v>
      </c>
    </row>
    <row r="1131" spans="1:3" ht="15.75" customHeight="1">
      <c r="A1131" s="448" t="s">
        <v>813</v>
      </c>
      <c r="B1131" s="448"/>
      <c r="C1131" s="412">
        <v>1163967</v>
      </c>
    </row>
    <row r="1132" spans="1:3" ht="15.75" customHeight="1">
      <c r="A1132" s="448" t="s">
        <v>814</v>
      </c>
      <c r="B1132" s="448"/>
      <c r="C1132" s="412">
        <v>655810</v>
      </c>
    </row>
    <row r="1133" spans="1:3" ht="15.75" customHeight="1">
      <c r="A1133" s="448" t="s">
        <v>860</v>
      </c>
      <c r="B1133" s="448"/>
      <c r="C1133" s="412">
        <v>483052</v>
      </c>
    </row>
    <row r="1134" spans="1:3" ht="15.75" customHeight="1">
      <c r="A1134" s="447" t="s">
        <v>771</v>
      </c>
      <c r="B1134" s="447"/>
      <c r="C1134" s="411">
        <v>1021846</v>
      </c>
    </row>
    <row r="1135" spans="1:3" ht="15.75" customHeight="1">
      <c r="A1135" s="448" t="s">
        <v>772</v>
      </c>
      <c r="B1135" s="448"/>
      <c r="C1135" s="412">
        <v>1010154</v>
      </c>
    </row>
    <row r="1136" spans="1:3" ht="15.75" customHeight="1">
      <c r="A1136" s="448" t="s">
        <v>773</v>
      </c>
      <c r="B1136" s="448"/>
      <c r="C1136" s="412">
        <v>90</v>
      </c>
    </row>
    <row r="1137" spans="1:3" ht="15.75" customHeight="1">
      <c r="A1137" s="448" t="s">
        <v>837</v>
      </c>
      <c r="B1137" s="448"/>
      <c r="C1137" s="412">
        <v>11692</v>
      </c>
    </row>
    <row r="1138" spans="1:3" ht="15.75" customHeight="1">
      <c r="A1138" s="447" t="s">
        <v>881</v>
      </c>
      <c r="B1138" s="447"/>
      <c r="C1138" s="411">
        <v>4926440</v>
      </c>
    </row>
    <row r="1139" spans="1:3" ht="15.75" customHeight="1">
      <c r="A1139" s="447" t="s">
        <v>882</v>
      </c>
      <c r="B1139" s="447"/>
      <c r="C1139" s="411">
        <v>556267</v>
      </c>
    </row>
    <row r="1140" spans="1:3" ht="15.75" customHeight="1">
      <c r="A1140" s="448" t="s">
        <v>884</v>
      </c>
      <c r="B1140" s="448"/>
      <c r="C1140" s="412">
        <v>600000</v>
      </c>
    </row>
    <row r="1141" spans="1:3" ht="15.75">
      <c r="A1141" s="397"/>
      <c r="B1141" s="397"/>
      <c r="C1141" s="400"/>
    </row>
    <row r="1144" spans="1:3" ht="18.75">
      <c r="A1144" s="4" t="s">
        <v>27</v>
      </c>
      <c r="B1144" s="4"/>
      <c r="C1144" s="73" t="s">
        <v>83</v>
      </c>
    </row>
  </sheetData>
  <sheetProtection/>
  <mergeCells count="1026">
    <mergeCell ref="A1100:C1100"/>
    <mergeCell ref="A1101:B1101"/>
    <mergeCell ref="A1103:C1103"/>
    <mergeCell ref="A1104:B1104"/>
    <mergeCell ref="A1138:B1138"/>
    <mergeCell ref="A1139:B1139"/>
    <mergeCell ref="A1126:B1126"/>
    <mergeCell ref="A1127:B1127"/>
    <mergeCell ref="A1128:B1128"/>
    <mergeCell ref="A1129:B1129"/>
    <mergeCell ref="A1140:B1140"/>
    <mergeCell ref="A1132:B1132"/>
    <mergeCell ref="A1133:B1133"/>
    <mergeCell ref="A1134:B1134"/>
    <mergeCell ref="A1135:B1135"/>
    <mergeCell ref="A1136:B1136"/>
    <mergeCell ref="A1137:B1137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14:B1114"/>
    <mergeCell ref="A1115:B1115"/>
    <mergeCell ref="A1116:B1116"/>
    <mergeCell ref="A1117:B1117"/>
    <mergeCell ref="A1118:B1118"/>
    <mergeCell ref="A1119:B1119"/>
    <mergeCell ref="A1106:C1106"/>
    <mergeCell ref="A1107:B1107"/>
    <mergeCell ref="A1110:C1110"/>
    <mergeCell ref="A1111:B1111"/>
    <mergeCell ref="A1112:B1112"/>
    <mergeCell ref="A1113:B1113"/>
    <mergeCell ref="A1093:C1093"/>
    <mergeCell ref="A1094:B1094"/>
    <mergeCell ref="A1095:B1095"/>
    <mergeCell ref="A1097:C1097"/>
    <mergeCell ref="A1098:B1098"/>
    <mergeCell ref="A1085:B1085"/>
    <mergeCell ref="A1086:B1086"/>
    <mergeCell ref="A1087:B1087"/>
    <mergeCell ref="A1089:C1089"/>
    <mergeCell ref="A1090:B1090"/>
    <mergeCell ref="A1091:B1091"/>
    <mergeCell ref="A1078:C1078"/>
    <mergeCell ref="A1079:B1079"/>
    <mergeCell ref="A1080:B1080"/>
    <mergeCell ref="A1081:B1081"/>
    <mergeCell ref="A1082:B1082"/>
    <mergeCell ref="A1084:C1084"/>
    <mergeCell ref="A1070:B1070"/>
    <mergeCell ref="A1072:C1072"/>
    <mergeCell ref="A1073:B1073"/>
    <mergeCell ref="A1074:B1074"/>
    <mergeCell ref="A1075:B1075"/>
    <mergeCell ref="A1076:B1076"/>
    <mergeCell ref="A1064:B1064"/>
    <mergeCell ref="A1065:B1065"/>
    <mergeCell ref="A1066:B1066"/>
    <mergeCell ref="A1067:B1067"/>
    <mergeCell ref="A1068:B1068"/>
    <mergeCell ref="A1069:B1069"/>
    <mergeCell ref="A1057:B1057"/>
    <mergeCell ref="A1059:C1059"/>
    <mergeCell ref="A1060:B1060"/>
    <mergeCell ref="A1061:B1061"/>
    <mergeCell ref="A1062:B1062"/>
    <mergeCell ref="A1063:B1063"/>
    <mergeCell ref="A1051:B1051"/>
    <mergeCell ref="A1052:B1052"/>
    <mergeCell ref="A1053:B1053"/>
    <mergeCell ref="A1054:B1054"/>
    <mergeCell ref="A1055:B1055"/>
    <mergeCell ref="A1056:B1056"/>
    <mergeCell ref="A1044:B1044"/>
    <mergeCell ref="A1045:B1045"/>
    <mergeCell ref="A1046:B1046"/>
    <mergeCell ref="A1047:B1047"/>
    <mergeCell ref="A1049:C1049"/>
    <mergeCell ref="A1050:B1050"/>
    <mergeCell ref="A1038:C1038"/>
    <mergeCell ref="A1039:B1039"/>
    <mergeCell ref="A1040:B1040"/>
    <mergeCell ref="A1041:B1041"/>
    <mergeCell ref="A1042:B1042"/>
    <mergeCell ref="A1043:B1043"/>
    <mergeCell ref="A1031:B1031"/>
    <mergeCell ref="A1032:B1032"/>
    <mergeCell ref="A1033:B1033"/>
    <mergeCell ref="A1034:B1034"/>
    <mergeCell ref="A1035:B1035"/>
    <mergeCell ref="A1036:B1036"/>
    <mergeCell ref="A1025:B1025"/>
    <mergeCell ref="A1026:B1026"/>
    <mergeCell ref="A1027:B1027"/>
    <mergeCell ref="A1028:B1028"/>
    <mergeCell ref="A1029:B1029"/>
    <mergeCell ref="A1030:B1030"/>
    <mergeCell ref="A1018:B1018"/>
    <mergeCell ref="A1019:B1019"/>
    <mergeCell ref="A1020:B1020"/>
    <mergeCell ref="A1021:B1021"/>
    <mergeCell ref="A1022:B1022"/>
    <mergeCell ref="A1024:C1024"/>
    <mergeCell ref="A1012:C1012"/>
    <mergeCell ref="A1013:B1013"/>
    <mergeCell ref="A1014:B1014"/>
    <mergeCell ref="A1015:B1015"/>
    <mergeCell ref="A1016:B1016"/>
    <mergeCell ref="A1017:B1017"/>
    <mergeCell ref="A1004:B1004"/>
    <mergeCell ref="A1006:C1006"/>
    <mergeCell ref="A1007:B1007"/>
    <mergeCell ref="A1008:B1008"/>
    <mergeCell ref="A1009:B1009"/>
    <mergeCell ref="A1010:B1010"/>
    <mergeCell ref="A998:C998"/>
    <mergeCell ref="A999:B999"/>
    <mergeCell ref="A1000:B1000"/>
    <mergeCell ref="A1001:B1001"/>
    <mergeCell ref="A1002:B1002"/>
    <mergeCell ref="A1003:B1003"/>
    <mergeCell ref="A990:B990"/>
    <mergeCell ref="A992:C992"/>
    <mergeCell ref="A993:B993"/>
    <mergeCell ref="A994:B994"/>
    <mergeCell ref="A995:B995"/>
    <mergeCell ref="A996:B996"/>
    <mergeCell ref="A984:B984"/>
    <mergeCell ref="A985:B985"/>
    <mergeCell ref="A986:B986"/>
    <mergeCell ref="A987:B987"/>
    <mergeCell ref="A988:B988"/>
    <mergeCell ref="A989:B989"/>
    <mergeCell ref="A977:B977"/>
    <mergeCell ref="A978:B978"/>
    <mergeCell ref="A979:B979"/>
    <mergeCell ref="A981:C981"/>
    <mergeCell ref="A982:B982"/>
    <mergeCell ref="A983:B983"/>
    <mergeCell ref="A970:B970"/>
    <mergeCell ref="A971:B971"/>
    <mergeCell ref="A973:C973"/>
    <mergeCell ref="A974:B974"/>
    <mergeCell ref="A975:B975"/>
    <mergeCell ref="A976:B976"/>
    <mergeCell ref="A964:B964"/>
    <mergeCell ref="A965:B965"/>
    <mergeCell ref="A966:B966"/>
    <mergeCell ref="A967:B967"/>
    <mergeCell ref="A968:B968"/>
    <mergeCell ref="A969:B969"/>
    <mergeCell ref="A957:B957"/>
    <mergeCell ref="A958:B958"/>
    <mergeCell ref="A959:B959"/>
    <mergeCell ref="A961:C961"/>
    <mergeCell ref="A962:B962"/>
    <mergeCell ref="A963:B963"/>
    <mergeCell ref="A951:C951"/>
    <mergeCell ref="A952:B952"/>
    <mergeCell ref="A953:B953"/>
    <mergeCell ref="A954:B954"/>
    <mergeCell ref="A955:B955"/>
    <mergeCell ref="A956:B956"/>
    <mergeCell ref="A943:B943"/>
    <mergeCell ref="A945:C945"/>
    <mergeCell ref="A946:B946"/>
    <mergeCell ref="A947:B947"/>
    <mergeCell ref="A948:B948"/>
    <mergeCell ref="A949:B949"/>
    <mergeCell ref="A937:B937"/>
    <mergeCell ref="A938:B938"/>
    <mergeCell ref="A939:B939"/>
    <mergeCell ref="A940:B940"/>
    <mergeCell ref="A941:B941"/>
    <mergeCell ref="A942:B942"/>
    <mergeCell ref="A930:B930"/>
    <mergeCell ref="A931:B931"/>
    <mergeCell ref="A932:B932"/>
    <mergeCell ref="A933:B933"/>
    <mergeCell ref="A935:C935"/>
    <mergeCell ref="A936:B936"/>
    <mergeCell ref="A923:B923"/>
    <mergeCell ref="A925:C925"/>
    <mergeCell ref="A926:B926"/>
    <mergeCell ref="A927:B927"/>
    <mergeCell ref="A928:B928"/>
    <mergeCell ref="A929:B929"/>
    <mergeCell ref="A917:B917"/>
    <mergeCell ref="A918:B918"/>
    <mergeCell ref="A919:B919"/>
    <mergeCell ref="A920:B920"/>
    <mergeCell ref="A921:B921"/>
    <mergeCell ref="A922:B922"/>
    <mergeCell ref="A910:B910"/>
    <mergeCell ref="A911:B911"/>
    <mergeCell ref="A912:B912"/>
    <mergeCell ref="A913:B913"/>
    <mergeCell ref="A915:C915"/>
    <mergeCell ref="A916:B916"/>
    <mergeCell ref="A904:B904"/>
    <mergeCell ref="A905:B905"/>
    <mergeCell ref="A906:B906"/>
    <mergeCell ref="A907:B907"/>
    <mergeCell ref="A908:B908"/>
    <mergeCell ref="A909:B909"/>
    <mergeCell ref="A897:B897"/>
    <mergeCell ref="A898:B898"/>
    <mergeCell ref="A899:B899"/>
    <mergeCell ref="A900:B900"/>
    <mergeCell ref="A901:B901"/>
    <mergeCell ref="A903:C903"/>
    <mergeCell ref="A890:B890"/>
    <mergeCell ref="A892:C892"/>
    <mergeCell ref="A893:B893"/>
    <mergeCell ref="A894:B894"/>
    <mergeCell ref="A895:B895"/>
    <mergeCell ref="A896:B896"/>
    <mergeCell ref="A884:B884"/>
    <mergeCell ref="A885:B885"/>
    <mergeCell ref="A886:B886"/>
    <mergeCell ref="A887:B887"/>
    <mergeCell ref="A888:B888"/>
    <mergeCell ref="A889:B889"/>
    <mergeCell ref="A878:B878"/>
    <mergeCell ref="A879:B879"/>
    <mergeCell ref="A880:B880"/>
    <mergeCell ref="A881:B881"/>
    <mergeCell ref="A882:B882"/>
    <mergeCell ref="A883:B883"/>
    <mergeCell ref="A871:B871"/>
    <mergeCell ref="A872:B872"/>
    <mergeCell ref="A873:B873"/>
    <mergeCell ref="A874:B874"/>
    <mergeCell ref="A875:B875"/>
    <mergeCell ref="A877:C877"/>
    <mergeCell ref="A865:B865"/>
    <mergeCell ref="A866:B866"/>
    <mergeCell ref="A867:B867"/>
    <mergeCell ref="A868:B868"/>
    <mergeCell ref="A869:B869"/>
    <mergeCell ref="A870:B870"/>
    <mergeCell ref="A858:B858"/>
    <mergeCell ref="A860:C860"/>
    <mergeCell ref="A861:B861"/>
    <mergeCell ref="A862:B862"/>
    <mergeCell ref="A863:B863"/>
    <mergeCell ref="A864:B864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39:B839"/>
    <mergeCell ref="A840:B840"/>
    <mergeCell ref="A841:B841"/>
    <mergeCell ref="A842:B842"/>
    <mergeCell ref="A844:C844"/>
    <mergeCell ref="A845:B845"/>
    <mergeCell ref="A833:B833"/>
    <mergeCell ref="A834:B834"/>
    <mergeCell ref="A835:B835"/>
    <mergeCell ref="A836:B836"/>
    <mergeCell ref="A837:B837"/>
    <mergeCell ref="A838:B838"/>
    <mergeCell ref="A826:B826"/>
    <mergeCell ref="A827:B827"/>
    <mergeCell ref="A828:B828"/>
    <mergeCell ref="A830:C830"/>
    <mergeCell ref="A831:B831"/>
    <mergeCell ref="A832:B832"/>
    <mergeCell ref="A819:B819"/>
    <mergeCell ref="A820:C820"/>
    <mergeCell ref="A821:B821"/>
    <mergeCell ref="A822:B822"/>
    <mergeCell ref="A823:B823"/>
    <mergeCell ref="A825:C825"/>
    <mergeCell ref="A813:B813"/>
    <mergeCell ref="A814:B814"/>
    <mergeCell ref="A815:B815"/>
    <mergeCell ref="A816:B816"/>
    <mergeCell ref="A817:B817"/>
    <mergeCell ref="A818:B818"/>
    <mergeCell ref="A806:B806"/>
    <mergeCell ref="A808:C808"/>
    <mergeCell ref="A809:B809"/>
    <mergeCell ref="A810:B810"/>
    <mergeCell ref="A811:B811"/>
    <mergeCell ref="A812:B812"/>
    <mergeCell ref="A800:B800"/>
    <mergeCell ref="A801:B801"/>
    <mergeCell ref="A802:B802"/>
    <mergeCell ref="A803:B803"/>
    <mergeCell ref="A804:B804"/>
    <mergeCell ref="A805:B805"/>
    <mergeCell ref="A793:B793"/>
    <mergeCell ref="A794:B794"/>
    <mergeCell ref="A795:B795"/>
    <mergeCell ref="A797:C797"/>
    <mergeCell ref="A798:B798"/>
    <mergeCell ref="A799:B799"/>
    <mergeCell ref="A787:B787"/>
    <mergeCell ref="A788:B788"/>
    <mergeCell ref="A789:B789"/>
    <mergeCell ref="A790:B790"/>
    <mergeCell ref="A791:B791"/>
    <mergeCell ref="A792:B792"/>
    <mergeCell ref="A780:B780"/>
    <mergeCell ref="A781:B781"/>
    <mergeCell ref="A782:B782"/>
    <mergeCell ref="A783:B783"/>
    <mergeCell ref="A784:B784"/>
    <mergeCell ref="A786:C786"/>
    <mergeCell ref="A774:B774"/>
    <mergeCell ref="A775:B775"/>
    <mergeCell ref="A776:B776"/>
    <mergeCell ref="A777:B777"/>
    <mergeCell ref="A778:B778"/>
    <mergeCell ref="A779:B779"/>
    <mergeCell ref="A766:B766"/>
    <mergeCell ref="A768:C768"/>
    <mergeCell ref="A769:B769"/>
    <mergeCell ref="A770:B770"/>
    <mergeCell ref="A771:B771"/>
    <mergeCell ref="A773:C773"/>
    <mergeCell ref="A759:B759"/>
    <mergeCell ref="A760:B760"/>
    <mergeCell ref="A761:B761"/>
    <mergeCell ref="A763:C763"/>
    <mergeCell ref="A764:B764"/>
    <mergeCell ref="A765:B765"/>
    <mergeCell ref="A753:B753"/>
    <mergeCell ref="A754:B754"/>
    <mergeCell ref="A755:B755"/>
    <mergeCell ref="A756:B756"/>
    <mergeCell ref="A757:B757"/>
    <mergeCell ref="A758:B758"/>
    <mergeCell ref="A746:B746"/>
    <mergeCell ref="A747:B747"/>
    <mergeCell ref="A748:B748"/>
    <mergeCell ref="A750:C750"/>
    <mergeCell ref="A751:B751"/>
    <mergeCell ref="A752:B752"/>
    <mergeCell ref="A740:B740"/>
    <mergeCell ref="A741:B741"/>
    <mergeCell ref="A742:B742"/>
    <mergeCell ref="A743:B743"/>
    <mergeCell ref="A744:B744"/>
    <mergeCell ref="A745:B745"/>
    <mergeCell ref="A733:B733"/>
    <mergeCell ref="A734:B734"/>
    <mergeCell ref="A735:B735"/>
    <mergeCell ref="A737:C737"/>
    <mergeCell ref="A738:B738"/>
    <mergeCell ref="A739:B739"/>
    <mergeCell ref="A726:B726"/>
    <mergeCell ref="A727:B727"/>
    <mergeCell ref="A728:B728"/>
    <mergeCell ref="A729:B729"/>
    <mergeCell ref="A730:B730"/>
    <mergeCell ref="A732:C732"/>
    <mergeCell ref="A720:B720"/>
    <mergeCell ref="A721:B721"/>
    <mergeCell ref="A722:B722"/>
    <mergeCell ref="A723:B723"/>
    <mergeCell ref="A724:B724"/>
    <mergeCell ref="A725:B725"/>
    <mergeCell ref="A713:B713"/>
    <mergeCell ref="A714:B714"/>
    <mergeCell ref="A716:C716"/>
    <mergeCell ref="A717:B717"/>
    <mergeCell ref="A718:B718"/>
    <mergeCell ref="A719:B719"/>
    <mergeCell ref="A707:B707"/>
    <mergeCell ref="A708:B708"/>
    <mergeCell ref="A709:B709"/>
    <mergeCell ref="A710:B710"/>
    <mergeCell ref="A711:B711"/>
    <mergeCell ref="A712:B712"/>
    <mergeCell ref="A701:C701"/>
    <mergeCell ref="A702:B702"/>
    <mergeCell ref="A703:B703"/>
    <mergeCell ref="A704:B704"/>
    <mergeCell ref="A705:B705"/>
    <mergeCell ref="A706:B706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1:B681"/>
    <mergeCell ref="A682:B682"/>
    <mergeCell ref="A683:B683"/>
    <mergeCell ref="A684:B684"/>
    <mergeCell ref="A685:B685"/>
    <mergeCell ref="A687:C687"/>
    <mergeCell ref="A675:B675"/>
    <mergeCell ref="A676:B676"/>
    <mergeCell ref="A677:B677"/>
    <mergeCell ref="A678:B678"/>
    <mergeCell ref="A679:B679"/>
    <mergeCell ref="A680:B680"/>
    <mergeCell ref="A668:B668"/>
    <mergeCell ref="A670:C670"/>
    <mergeCell ref="A671:B671"/>
    <mergeCell ref="A672:B672"/>
    <mergeCell ref="A673:B673"/>
    <mergeCell ref="A674:B674"/>
    <mergeCell ref="A662:B662"/>
    <mergeCell ref="A663:B663"/>
    <mergeCell ref="A664:B664"/>
    <mergeCell ref="A665:B665"/>
    <mergeCell ref="A666:B666"/>
    <mergeCell ref="A667:B667"/>
    <mergeCell ref="A655:B655"/>
    <mergeCell ref="A656:B656"/>
    <mergeCell ref="A658:C658"/>
    <mergeCell ref="A659:B659"/>
    <mergeCell ref="A660:B660"/>
    <mergeCell ref="A661:B661"/>
    <mergeCell ref="A649:B649"/>
    <mergeCell ref="A650:B650"/>
    <mergeCell ref="A651:B651"/>
    <mergeCell ref="A652:B652"/>
    <mergeCell ref="A653:B653"/>
    <mergeCell ref="A654:B654"/>
    <mergeCell ref="A642:B642"/>
    <mergeCell ref="A644:C644"/>
    <mergeCell ref="A645:B645"/>
    <mergeCell ref="A646:B646"/>
    <mergeCell ref="A647:B647"/>
    <mergeCell ref="A648:B648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3:B623"/>
    <mergeCell ref="A624:B624"/>
    <mergeCell ref="A625:B625"/>
    <mergeCell ref="A627:C627"/>
    <mergeCell ref="A628:B628"/>
    <mergeCell ref="A629:B629"/>
    <mergeCell ref="A617:B617"/>
    <mergeCell ref="A618:B618"/>
    <mergeCell ref="A619:B619"/>
    <mergeCell ref="A620:B620"/>
    <mergeCell ref="A621:B621"/>
    <mergeCell ref="A622:B622"/>
    <mergeCell ref="A611:B611"/>
    <mergeCell ref="A612:B612"/>
    <mergeCell ref="A613:B613"/>
    <mergeCell ref="A614:B614"/>
    <mergeCell ref="A615:B615"/>
    <mergeCell ref="A616:B616"/>
    <mergeCell ref="A604:B604"/>
    <mergeCell ref="A605:B605"/>
    <mergeCell ref="A606:B606"/>
    <mergeCell ref="A607:B607"/>
    <mergeCell ref="A608:B608"/>
    <mergeCell ref="A610:C610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5:B585"/>
    <mergeCell ref="A586:B586"/>
    <mergeCell ref="A588:C588"/>
    <mergeCell ref="A589:B589"/>
    <mergeCell ref="A590:B590"/>
    <mergeCell ref="A591:B591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0:C560"/>
    <mergeCell ref="A561:B561"/>
    <mergeCell ref="A562:B562"/>
    <mergeCell ref="A563:B563"/>
    <mergeCell ref="A564:B564"/>
    <mergeCell ref="A566:C566"/>
    <mergeCell ref="A552:B552"/>
    <mergeCell ref="A553:B553"/>
    <mergeCell ref="A555:C555"/>
    <mergeCell ref="A556:B556"/>
    <mergeCell ref="A557:B557"/>
    <mergeCell ref="A558:B558"/>
    <mergeCell ref="A546:B546"/>
    <mergeCell ref="A547:B547"/>
    <mergeCell ref="A548:B548"/>
    <mergeCell ref="A549:B549"/>
    <mergeCell ref="A550:B550"/>
    <mergeCell ref="A551:B551"/>
    <mergeCell ref="A539:C539"/>
    <mergeCell ref="A540:B540"/>
    <mergeCell ref="A541:B541"/>
    <mergeCell ref="A542:B542"/>
    <mergeCell ref="A544:C544"/>
    <mergeCell ref="A545:B545"/>
    <mergeCell ref="A532:B532"/>
    <mergeCell ref="A533:B533"/>
    <mergeCell ref="A534:B534"/>
    <mergeCell ref="A535:B535"/>
    <mergeCell ref="A536:B536"/>
    <mergeCell ref="A537:B537"/>
    <mergeCell ref="A525:B525"/>
    <mergeCell ref="A526:B526"/>
    <mergeCell ref="A528:C528"/>
    <mergeCell ref="A529:B529"/>
    <mergeCell ref="A530:B530"/>
    <mergeCell ref="A531:B531"/>
    <mergeCell ref="A519:B519"/>
    <mergeCell ref="A520:B520"/>
    <mergeCell ref="A521:B521"/>
    <mergeCell ref="A522:B522"/>
    <mergeCell ref="A523:B523"/>
    <mergeCell ref="A524:B524"/>
    <mergeCell ref="A512:B512"/>
    <mergeCell ref="A513:B513"/>
    <mergeCell ref="A515:C515"/>
    <mergeCell ref="A516:B516"/>
    <mergeCell ref="A517:B517"/>
    <mergeCell ref="A518:B518"/>
    <mergeCell ref="A506:B506"/>
    <mergeCell ref="A507:B507"/>
    <mergeCell ref="A508:B508"/>
    <mergeCell ref="A509:B509"/>
    <mergeCell ref="A510:B510"/>
    <mergeCell ref="A511:B511"/>
    <mergeCell ref="A499:B499"/>
    <mergeCell ref="A501:C501"/>
    <mergeCell ref="A502:B502"/>
    <mergeCell ref="A503:B503"/>
    <mergeCell ref="A504:B504"/>
    <mergeCell ref="A505:B505"/>
    <mergeCell ref="A493:B493"/>
    <mergeCell ref="A494:B494"/>
    <mergeCell ref="A495:B495"/>
    <mergeCell ref="A496:B496"/>
    <mergeCell ref="A497:B497"/>
    <mergeCell ref="A498:B498"/>
    <mergeCell ref="A486:B486"/>
    <mergeCell ref="A487:B487"/>
    <mergeCell ref="A488:B488"/>
    <mergeCell ref="A489:B489"/>
    <mergeCell ref="A490:B490"/>
    <mergeCell ref="A492:C492"/>
    <mergeCell ref="A479:B479"/>
    <mergeCell ref="A480:B480"/>
    <mergeCell ref="A481:B481"/>
    <mergeCell ref="A483:C483"/>
    <mergeCell ref="A484:B484"/>
    <mergeCell ref="A485:B485"/>
    <mergeCell ref="A472:B472"/>
    <mergeCell ref="A473:B473"/>
    <mergeCell ref="A475:C475"/>
    <mergeCell ref="A476:B476"/>
    <mergeCell ref="A477:B477"/>
    <mergeCell ref="A478:B478"/>
    <mergeCell ref="A466:B466"/>
    <mergeCell ref="A467:B467"/>
    <mergeCell ref="A468:B468"/>
    <mergeCell ref="A469:B469"/>
    <mergeCell ref="A470:B470"/>
    <mergeCell ref="A471:B471"/>
    <mergeCell ref="A459:B459"/>
    <mergeCell ref="A460:B460"/>
    <mergeCell ref="A461:B461"/>
    <mergeCell ref="A463:C463"/>
    <mergeCell ref="A464:B464"/>
    <mergeCell ref="A465:B465"/>
    <mergeCell ref="A453:B453"/>
    <mergeCell ref="A454:B454"/>
    <mergeCell ref="A455:B455"/>
    <mergeCell ref="A456:B456"/>
    <mergeCell ref="A457:B457"/>
    <mergeCell ref="A458:B458"/>
    <mergeCell ref="A446:B446"/>
    <mergeCell ref="A447:B447"/>
    <mergeCell ref="A449:C449"/>
    <mergeCell ref="A450:B450"/>
    <mergeCell ref="A451:B451"/>
    <mergeCell ref="A452:B452"/>
    <mergeCell ref="A440:B440"/>
    <mergeCell ref="A441:B441"/>
    <mergeCell ref="A442:B442"/>
    <mergeCell ref="A443:B443"/>
    <mergeCell ref="A444:B444"/>
    <mergeCell ref="A445:B445"/>
    <mergeCell ref="A433:B433"/>
    <mergeCell ref="A434:B434"/>
    <mergeCell ref="A436:C436"/>
    <mergeCell ref="A437:B437"/>
    <mergeCell ref="A438:B438"/>
    <mergeCell ref="A439:B439"/>
    <mergeCell ref="A426:B426"/>
    <mergeCell ref="A428:C428"/>
    <mergeCell ref="A429:B429"/>
    <mergeCell ref="A430:B430"/>
    <mergeCell ref="A431:B431"/>
    <mergeCell ref="A432:B432"/>
    <mergeCell ref="A420:B420"/>
    <mergeCell ref="A421:B421"/>
    <mergeCell ref="A422:B422"/>
    <mergeCell ref="A423:B423"/>
    <mergeCell ref="A424:B424"/>
    <mergeCell ref="A425:B425"/>
    <mergeCell ref="A414:C414"/>
    <mergeCell ref="A415:B415"/>
    <mergeCell ref="A416:B416"/>
    <mergeCell ref="A417:B417"/>
    <mergeCell ref="A418:B418"/>
    <mergeCell ref="A419:B419"/>
    <mergeCell ref="A406:B406"/>
    <mergeCell ref="A407:B407"/>
    <mergeCell ref="A409:C409"/>
    <mergeCell ref="A410:B410"/>
    <mergeCell ref="A411:B411"/>
    <mergeCell ref="A412:B412"/>
    <mergeCell ref="A400:B400"/>
    <mergeCell ref="A401:B401"/>
    <mergeCell ref="A402:B402"/>
    <mergeCell ref="A403:B403"/>
    <mergeCell ref="A404:B404"/>
    <mergeCell ref="A405:B405"/>
    <mergeCell ref="A393:B393"/>
    <mergeCell ref="A394:B394"/>
    <mergeCell ref="A395:B395"/>
    <mergeCell ref="A397:C397"/>
    <mergeCell ref="A398:B398"/>
    <mergeCell ref="A399:B399"/>
    <mergeCell ref="A387:B387"/>
    <mergeCell ref="A388:B388"/>
    <mergeCell ref="A389:B389"/>
    <mergeCell ref="A390:B390"/>
    <mergeCell ref="A391:B391"/>
    <mergeCell ref="A392:B392"/>
    <mergeCell ref="A380:B380"/>
    <mergeCell ref="A381:B381"/>
    <mergeCell ref="A382:B382"/>
    <mergeCell ref="A384:C384"/>
    <mergeCell ref="A385:B385"/>
    <mergeCell ref="A386:B386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1:B361"/>
    <mergeCell ref="A362:B362"/>
    <mergeCell ref="A364:C364"/>
    <mergeCell ref="A365:B365"/>
    <mergeCell ref="A366:B366"/>
    <mergeCell ref="A367:B367"/>
    <mergeCell ref="A354:B354"/>
    <mergeCell ref="A355:B355"/>
    <mergeCell ref="A356:B356"/>
    <mergeCell ref="A358:C358"/>
    <mergeCell ref="A359:B359"/>
    <mergeCell ref="A360:B360"/>
    <mergeCell ref="A347:C347"/>
    <mergeCell ref="A348:B348"/>
    <mergeCell ref="A349:B349"/>
    <mergeCell ref="A350:B350"/>
    <mergeCell ref="A352:C352"/>
    <mergeCell ref="A353:B353"/>
    <mergeCell ref="A339:B339"/>
    <mergeCell ref="A340:B340"/>
    <mergeCell ref="A342:C342"/>
    <mergeCell ref="A343:B343"/>
    <mergeCell ref="A344:B344"/>
    <mergeCell ref="A345:B345"/>
    <mergeCell ref="A333:C333"/>
    <mergeCell ref="A334:B334"/>
    <mergeCell ref="A335:B335"/>
    <mergeCell ref="A336:B336"/>
    <mergeCell ref="A337:B337"/>
    <mergeCell ref="A338:B338"/>
    <mergeCell ref="A326:C326"/>
    <mergeCell ref="A327:B327"/>
    <mergeCell ref="A328:B328"/>
    <mergeCell ref="A329:B329"/>
    <mergeCell ref="A330:B330"/>
    <mergeCell ref="A331:B331"/>
    <mergeCell ref="A319:C319"/>
    <mergeCell ref="A320:B320"/>
    <mergeCell ref="A321:B321"/>
    <mergeCell ref="A322:B322"/>
    <mergeCell ref="A323:B323"/>
    <mergeCell ref="A324:B324"/>
    <mergeCell ref="A311:B311"/>
    <mergeCell ref="A312:B312"/>
    <mergeCell ref="A314:C314"/>
    <mergeCell ref="A315:B315"/>
    <mergeCell ref="A316:B316"/>
    <mergeCell ref="A317:B317"/>
    <mergeCell ref="A304:B304"/>
    <mergeCell ref="A306:C306"/>
    <mergeCell ref="A307:B307"/>
    <mergeCell ref="A308:B308"/>
    <mergeCell ref="A309:B309"/>
    <mergeCell ref="A310:B310"/>
    <mergeCell ref="A298:B298"/>
    <mergeCell ref="A299:B299"/>
    <mergeCell ref="A300:B300"/>
    <mergeCell ref="A301:B301"/>
    <mergeCell ref="A302:B302"/>
    <mergeCell ref="A303:B303"/>
    <mergeCell ref="A292:C292"/>
    <mergeCell ref="A293:B293"/>
    <mergeCell ref="A294:B294"/>
    <mergeCell ref="A295:B295"/>
    <mergeCell ref="A296:B296"/>
    <mergeCell ref="A297:B297"/>
    <mergeCell ref="A285:C285"/>
    <mergeCell ref="A286:B286"/>
    <mergeCell ref="A287:B287"/>
    <mergeCell ref="A288:B288"/>
    <mergeCell ref="A289:B289"/>
    <mergeCell ref="A290:B290"/>
    <mergeCell ref="A278:C278"/>
    <mergeCell ref="A279:B279"/>
    <mergeCell ref="A280:B280"/>
    <mergeCell ref="A281:B281"/>
    <mergeCell ref="A282:B282"/>
    <mergeCell ref="A283:B283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8:B258"/>
    <mergeCell ref="A259:B259"/>
    <mergeCell ref="A260:B260"/>
    <mergeCell ref="A262:C262"/>
    <mergeCell ref="A263:B263"/>
    <mergeCell ref="A264:B264"/>
    <mergeCell ref="A251:B251"/>
    <mergeCell ref="A252:B252"/>
    <mergeCell ref="A253:B253"/>
    <mergeCell ref="A254:B254"/>
    <mergeCell ref="A256:C256"/>
    <mergeCell ref="A257:B257"/>
    <mergeCell ref="A244:C244"/>
    <mergeCell ref="A245:B245"/>
    <mergeCell ref="A246:B246"/>
    <mergeCell ref="A247:B247"/>
    <mergeCell ref="A249:C249"/>
    <mergeCell ref="A250:B250"/>
    <mergeCell ref="A237:B237"/>
    <mergeCell ref="A238:B238"/>
    <mergeCell ref="A239:C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3:B223"/>
    <mergeCell ref="A225:C225"/>
    <mergeCell ref="A226:B226"/>
    <mergeCell ref="A227:B227"/>
    <mergeCell ref="A228:B228"/>
    <mergeCell ref="A230:C230"/>
    <mergeCell ref="A216:B216"/>
    <mergeCell ref="A217:B217"/>
    <mergeCell ref="A218:B218"/>
    <mergeCell ref="A220:C220"/>
    <mergeCell ref="A221:B221"/>
    <mergeCell ref="A222:B222"/>
    <mergeCell ref="A209:B209"/>
    <mergeCell ref="A210:B210"/>
    <mergeCell ref="A212:C212"/>
    <mergeCell ref="A213:B213"/>
    <mergeCell ref="A214:B214"/>
    <mergeCell ref="A215:B215"/>
    <mergeCell ref="A203:B203"/>
    <mergeCell ref="A204:B204"/>
    <mergeCell ref="A205:B205"/>
    <mergeCell ref="A206:B206"/>
    <mergeCell ref="A207:B207"/>
    <mergeCell ref="A208:B208"/>
    <mergeCell ref="A196:B196"/>
    <mergeCell ref="A198:C198"/>
    <mergeCell ref="A199:B199"/>
    <mergeCell ref="A200:B200"/>
    <mergeCell ref="A201:B201"/>
    <mergeCell ref="A202:B202"/>
    <mergeCell ref="A189:B189"/>
    <mergeCell ref="A190:B190"/>
    <mergeCell ref="A191:B191"/>
    <mergeCell ref="A193:C193"/>
    <mergeCell ref="A194:B194"/>
    <mergeCell ref="A195:B195"/>
    <mergeCell ref="A182:B182"/>
    <mergeCell ref="A183:B183"/>
    <mergeCell ref="A185:C185"/>
    <mergeCell ref="A186:B186"/>
    <mergeCell ref="A187:B187"/>
    <mergeCell ref="A188:B188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3:B163"/>
    <mergeCell ref="A164:B164"/>
    <mergeCell ref="A166:C166"/>
    <mergeCell ref="A167:B167"/>
    <mergeCell ref="A168:B168"/>
    <mergeCell ref="A169:B169"/>
    <mergeCell ref="A157:C157"/>
    <mergeCell ref="A158:B158"/>
    <mergeCell ref="A159:B159"/>
    <mergeCell ref="A160:B160"/>
    <mergeCell ref="A161:B161"/>
    <mergeCell ref="A162:B162"/>
    <mergeCell ref="A150:B150"/>
    <mergeCell ref="A151:B151"/>
    <mergeCell ref="A152:B152"/>
    <mergeCell ref="A153:B153"/>
    <mergeCell ref="A154:B154"/>
    <mergeCell ref="A155:B155"/>
    <mergeCell ref="A144:C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C132"/>
    <mergeCell ref="A133:B133"/>
    <mergeCell ref="A134:B134"/>
    <mergeCell ref="A135:B135"/>
    <mergeCell ref="A136:B136"/>
    <mergeCell ref="A137:B137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2:C112"/>
    <mergeCell ref="A113:B113"/>
    <mergeCell ref="A114:B114"/>
    <mergeCell ref="A115:B115"/>
    <mergeCell ref="A116:B116"/>
    <mergeCell ref="A118:C118"/>
    <mergeCell ref="A104:B104"/>
    <mergeCell ref="A106:C106"/>
    <mergeCell ref="A107:B107"/>
    <mergeCell ref="A108:B108"/>
    <mergeCell ref="A109:B109"/>
    <mergeCell ref="A110:B110"/>
    <mergeCell ref="A97:B97"/>
    <mergeCell ref="A98:B98"/>
    <mergeCell ref="A99:B99"/>
    <mergeCell ref="A101:C101"/>
    <mergeCell ref="A102:B102"/>
    <mergeCell ref="A103:B103"/>
    <mergeCell ref="A90:B90"/>
    <mergeCell ref="A91:B91"/>
    <mergeCell ref="A92:B92"/>
    <mergeCell ref="A94:C94"/>
    <mergeCell ref="A95:B95"/>
    <mergeCell ref="A96:B96"/>
    <mergeCell ref="A83:B83"/>
    <mergeCell ref="A84:B84"/>
    <mergeCell ref="A85:B85"/>
    <mergeCell ref="A87:C87"/>
    <mergeCell ref="A88:B88"/>
    <mergeCell ref="A89:B89"/>
    <mergeCell ref="A76:B76"/>
    <mergeCell ref="A78:C78"/>
    <mergeCell ref="A79:B79"/>
    <mergeCell ref="A80:B80"/>
    <mergeCell ref="A81:B81"/>
    <mergeCell ref="A82:B82"/>
    <mergeCell ref="A69:B69"/>
    <mergeCell ref="A70:B70"/>
    <mergeCell ref="A71:B71"/>
    <mergeCell ref="A73:C73"/>
    <mergeCell ref="A74:B74"/>
    <mergeCell ref="A75:B75"/>
    <mergeCell ref="A63:B63"/>
    <mergeCell ref="A64:B64"/>
    <mergeCell ref="A65:B65"/>
    <mergeCell ref="A66:B66"/>
    <mergeCell ref="A67:B67"/>
    <mergeCell ref="A68:B68"/>
    <mergeCell ref="A56:B56"/>
    <mergeCell ref="A57:B57"/>
    <mergeCell ref="A58:B58"/>
    <mergeCell ref="A59:B59"/>
    <mergeCell ref="A60:B60"/>
    <mergeCell ref="A62:C62"/>
    <mergeCell ref="A49:C49"/>
    <mergeCell ref="A50:B50"/>
    <mergeCell ref="A51:B51"/>
    <mergeCell ref="A52:B52"/>
    <mergeCell ref="A53:B53"/>
    <mergeCell ref="A55:C55"/>
    <mergeCell ref="A43:B43"/>
    <mergeCell ref="A44:B44"/>
    <mergeCell ref="A45:B45"/>
    <mergeCell ref="A46:B46"/>
    <mergeCell ref="A47:B47"/>
    <mergeCell ref="A48:B48"/>
    <mergeCell ref="A36:B36"/>
    <mergeCell ref="A37:B37"/>
    <mergeCell ref="A38:B38"/>
    <mergeCell ref="A39:B39"/>
    <mergeCell ref="A41:C41"/>
    <mergeCell ref="A42:B42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8:C28"/>
    <mergeCell ref="A29:B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B1"/>
    <mergeCell ref="B5:C5"/>
    <mergeCell ref="A6:B6"/>
    <mergeCell ref="A8:C8"/>
    <mergeCell ref="A9:B9"/>
    <mergeCell ref="A10:B10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portrait" pageOrder="overThenDown" scale="90" r:id="rId1"/>
  <headerFooter>
    <oddFooter>&amp;R&amp;P</oddFooter>
  </headerFooter>
  <rowBreaks count="7" manualBreakCount="7">
    <brk id="93" max="255" man="1"/>
    <brk id="143" max="255" man="1"/>
    <brk id="238" max="255" man="1"/>
    <brk id="736" max="255" man="1"/>
    <brk id="819" max="255" man="1"/>
    <brk id="960" max="255" man="1"/>
    <brk id="10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224"/>
  <sheetViews>
    <sheetView zoomScale="90" zoomScaleNormal="90" zoomScalePageLayoutView="80" workbookViewId="0" topLeftCell="E184">
      <selection activeCell="A1" sqref="A1:Y217"/>
    </sheetView>
  </sheetViews>
  <sheetFormatPr defaultColWidth="9.140625" defaultRowHeight="12.75"/>
  <cols>
    <col min="1" max="1" width="3.28125" style="0" customWidth="1"/>
    <col min="2" max="2" width="10.7109375" style="249" customWidth="1"/>
    <col min="3" max="3" width="25.8515625" style="202" customWidth="1"/>
    <col min="4" max="4" width="3.421875" style="202" hidden="1" customWidth="1"/>
    <col min="5" max="5" width="13.421875" style="202" customWidth="1"/>
    <col min="6" max="6" width="10.8515625" style="0" customWidth="1"/>
    <col min="7" max="7" width="12.140625" style="0" customWidth="1"/>
    <col min="8" max="8" width="12.28125" style="0" hidden="1" customWidth="1"/>
    <col min="9" max="9" width="10.8515625" style="325" hidden="1" customWidth="1"/>
    <col min="10" max="10" width="12.5742187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2.421875" style="0" customWidth="1"/>
    <col min="15" max="15" width="13.28125" style="0" customWidth="1"/>
    <col min="16" max="16" width="12.140625" style="0" customWidth="1"/>
    <col min="17" max="17" width="12.28125" style="0" customWidth="1"/>
    <col min="18" max="18" width="12.57421875" style="0" customWidth="1"/>
    <col min="19" max="19" width="12.7109375" style="0" customWidth="1"/>
    <col min="20" max="21" width="12.28125" style="0" customWidth="1"/>
    <col min="22" max="22" width="12.421875" style="0" customWidth="1"/>
    <col min="23" max="23" width="12.28125" style="0" customWidth="1"/>
    <col min="24" max="24" width="13.28125" style="0" customWidth="1"/>
    <col min="25" max="25" width="13.421875" style="0" customWidth="1"/>
  </cols>
  <sheetData>
    <row r="1" spans="2:14" ht="12.75">
      <c r="B1" s="184"/>
      <c r="C1" s="192"/>
      <c r="D1" s="192"/>
      <c r="E1" s="192"/>
      <c r="F1" s="2"/>
      <c r="G1" s="2"/>
      <c r="H1" s="2"/>
      <c r="I1" s="193"/>
      <c r="J1" s="2"/>
      <c r="N1" s="76" t="s">
        <v>470</v>
      </c>
    </row>
    <row r="2" spans="2:14" ht="12.75">
      <c r="B2" s="184"/>
      <c r="C2" s="192"/>
      <c r="D2" s="192"/>
      <c r="E2" s="192"/>
      <c r="F2" s="2"/>
      <c r="G2" s="2"/>
      <c r="H2" s="2"/>
      <c r="I2" s="193"/>
      <c r="J2" s="2"/>
      <c r="N2" s="76" t="s">
        <v>914</v>
      </c>
    </row>
    <row r="3" spans="2:14" ht="12.75">
      <c r="B3" s="184"/>
      <c r="C3" s="192"/>
      <c r="D3" s="192"/>
      <c r="E3" s="192"/>
      <c r="F3" s="2"/>
      <c r="G3" s="2"/>
      <c r="H3" s="2"/>
      <c r="I3" s="193"/>
      <c r="J3" s="2"/>
      <c r="N3" s="76" t="s">
        <v>915</v>
      </c>
    </row>
    <row r="5" spans="1:25" ht="18" customHeight="1">
      <c r="A5" s="460" t="s">
        <v>471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</row>
    <row r="6" spans="1:25" s="202" customFormat="1" ht="12.75" customHeight="1">
      <c r="A6" s="461" t="s">
        <v>472</v>
      </c>
      <c r="B6" s="463" t="s">
        <v>473</v>
      </c>
      <c r="C6" s="465" t="s">
        <v>474</v>
      </c>
      <c r="D6" s="197"/>
      <c r="E6" s="197" t="s">
        <v>475</v>
      </c>
      <c r="F6" s="197" t="s">
        <v>476</v>
      </c>
      <c r="G6" s="197" t="s">
        <v>477</v>
      </c>
      <c r="H6" s="198"/>
      <c r="I6" s="199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200"/>
      <c r="X6" s="200"/>
      <c r="Y6" s="201" t="s">
        <v>478</v>
      </c>
    </row>
    <row r="7" spans="1:25" s="202" customFormat="1" ht="12.75">
      <c r="A7" s="462"/>
      <c r="B7" s="464"/>
      <c r="C7" s="466"/>
      <c r="D7" s="203"/>
      <c r="E7" s="203" t="s">
        <v>479</v>
      </c>
      <c r="F7" s="203" t="s">
        <v>480</v>
      </c>
      <c r="G7" s="203" t="s">
        <v>387</v>
      </c>
      <c r="H7" s="203">
        <v>2014</v>
      </c>
      <c r="I7" s="204">
        <v>2015</v>
      </c>
      <c r="J7" s="203">
        <f>SUM(I7+1)</f>
        <v>2016</v>
      </c>
      <c r="K7" s="203">
        <f aca="true" t="shared" si="0" ref="K7:W7">SUM(J7+1)</f>
        <v>2017</v>
      </c>
      <c r="L7" s="203">
        <f t="shared" si="0"/>
        <v>2018</v>
      </c>
      <c r="M7" s="203">
        <f t="shared" si="0"/>
        <v>2019</v>
      </c>
      <c r="N7" s="203">
        <f>SUM(M7+1)</f>
        <v>2020</v>
      </c>
      <c r="O7" s="203">
        <f t="shared" si="0"/>
        <v>2021</v>
      </c>
      <c r="P7" s="203">
        <f t="shared" si="0"/>
        <v>2022</v>
      </c>
      <c r="Q7" s="203">
        <f t="shared" si="0"/>
        <v>2023</v>
      </c>
      <c r="R7" s="203">
        <f t="shared" si="0"/>
        <v>2024</v>
      </c>
      <c r="S7" s="203">
        <f t="shared" si="0"/>
        <v>2025</v>
      </c>
      <c r="T7" s="203">
        <f t="shared" si="0"/>
        <v>2026</v>
      </c>
      <c r="U7" s="203">
        <f t="shared" si="0"/>
        <v>2027</v>
      </c>
      <c r="V7" s="203">
        <f t="shared" si="0"/>
        <v>2028</v>
      </c>
      <c r="W7" s="203">
        <f t="shared" si="0"/>
        <v>2029</v>
      </c>
      <c r="X7" s="205" t="s">
        <v>481</v>
      </c>
      <c r="Y7" s="206" t="s">
        <v>482</v>
      </c>
    </row>
    <row r="8" spans="1:25" s="214" customFormat="1" ht="12.75">
      <c r="A8" s="467">
        <v>1</v>
      </c>
      <c r="B8" s="207" t="s">
        <v>483</v>
      </c>
      <c r="C8" s="469" t="s">
        <v>484</v>
      </c>
      <c r="D8" s="469">
        <v>501</v>
      </c>
      <c r="E8" s="471">
        <v>5039180.93</v>
      </c>
      <c r="F8" s="208" t="s">
        <v>485</v>
      </c>
      <c r="G8" s="209" t="s">
        <v>486</v>
      </c>
      <c r="H8" s="210">
        <v>403133.74</v>
      </c>
      <c r="I8" s="211">
        <v>403116.93</v>
      </c>
      <c r="J8" s="234">
        <v>403136</v>
      </c>
      <c r="K8" s="234">
        <v>403136</v>
      </c>
      <c r="L8" s="234">
        <v>403136</v>
      </c>
      <c r="M8" s="234">
        <v>403136</v>
      </c>
      <c r="N8" s="234">
        <v>403136</v>
      </c>
      <c r="O8" s="234">
        <v>403136</v>
      </c>
      <c r="P8" s="234">
        <v>403136</v>
      </c>
      <c r="Q8" s="234">
        <v>403136</v>
      </c>
      <c r="R8" s="234">
        <v>403136</v>
      </c>
      <c r="S8" s="234">
        <v>403136</v>
      </c>
      <c r="T8" s="234">
        <v>403136</v>
      </c>
      <c r="U8" s="234">
        <v>201568</v>
      </c>
      <c r="V8" s="234"/>
      <c r="W8" s="234"/>
      <c r="X8" s="234"/>
      <c r="Y8" s="213">
        <f>SUM(J8:X8)</f>
        <v>4636064</v>
      </c>
    </row>
    <row r="9" spans="1:25" s="214" customFormat="1" ht="12.75">
      <c r="A9" s="468"/>
      <c r="B9" s="215" t="s">
        <v>487</v>
      </c>
      <c r="C9" s="470"/>
      <c r="D9" s="470"/>
      <c r="E9" s="472"/>
      <c r="F9" s="216" t="s">
        <v>488</v>
      </c>
      <c r="G9" s="217">
        <v>0.00403</v>
      </c>
      <c r="H9" s="218">
        <v>37024.32</v>
      </c>
      <c r="I9" s="219">
        <v>24755.87</v>
      </c>
      <c r="J9" s="364">
        <v>22085</v>
      </c>
      <c r="K9" s="364">
        <v>21145</v>
      </c>
      <c r="L9" s="364">
        <v>19100</v>
      </c>
      <c r="M9" s="364">
        <v>17060</v>
      </c>
      <c r="N9" s="364">
        <v>15055</v>
      </c>
      <c r="O9" s="364">
        <v>12970</v>
      </c>
      <c r="P9" s="364">
        <v>10925</v>
      </c>
      <c r="Q9" s="364">
        <v>8885</v>
      </c>
      <c r="R9" s="364">
        <v>6860</v>
      </c>
      <c r="S9" s="364">
        <v>4795</v>
      </c>
      <c r="T9" s="364">
        <v>2750</v>
      </c>
      <c r="U9" s="364">
        <v>725</v>
      </c>
      <c r="V9" s="365"/>
      <c r="W9" s="365"/>
      <c r="X9" s="365"/>
      <c r="Y9" s="220">
        <f>SUM(J9:X9)</f>
        <v>142355</v>
      </c>
    </row>
    <row r="10" spans="1:25" s="214" customFormat="1" ht="12.75">
      <c r="A10" s="473">
        <v>2</v>
      </c>
      <c r="B10" s="221" t="s">
        <v>489</v>
      </c>
      <c r="C10" s="475" t="s">
        <v>490</v>
      </c>
      <c r="D10" s="477">
        <v>508</v>
      </c>
      <c r="E10" s="479">
        <v>1132852.22</v>
      </c>
      <c r="F10" s="222" t="s">
        <v>491</v>
      </c>
      <c r="G10" s="223" t="s">
        <v>486</v>
      </c>
      <c r="H10" s="224">
        <v>215787.04</v>
      </c>
      <c r="I10" s="225">
        <v>215787.04</v>
      </c>
      <c r="J10" s="225">
        <v>53917</v>
      </c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227">
        <f aca="true" t="shared" si="1" ref="Y10:Y73">SUM(J10:X10)</f>
        <v>53917</v>
      </c>
    </row>
    <row r="11" spans="1:25" s="214" customFormat="1" ht="12.75">
      <c r="A11" s="474"/>
      <c r="B11" s="228" t="s">
        <v>492</v>
      </c>
      <c r="C11" s="476"/>
      <c r="D11" s="478"/>
      <c r="E11" s="480"/>
      <c r="F11" s="229" t="s">
        <v>493</v>
      </c>
      <c r="G11" s="230">
        <v>0.00403</v>
      </c>
      <c r="H11" s="231">
        <v>3050.23</v>
      </c>
      <c r="I11" s="232">
        <v>1187.68</v>
      </c>
      <c r="J11" s="367">
        <v>165</v>
      </c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233">
        <f t="shared" si="1"/>
        <v>165</v>
      </c>
    </row>
    <row r="12" spans="1:25" s="214" customFormat="1" ht="12.75">
      <c r="A12" s="467">
        <v>3</v>
      </c>
      <c r="B12" s="207" t="s">
        <v>489</v>
      </c>
      <c r="C12" s="469" t="s">
        <v>494</v>
      </c>
      <c r="D12" s="469">
        <v>509</v>
      </c>
      <c r="E12" s="481">
        <v>72231.67</v>
      </c>
      <c r="F12" s="208" t="s">
        <v>495</v>
      </c>
      <c r="G12" s="209" t="s">
        <v>486</v>
      </c>
      <c r="H12" s="210">
        <v>13762</v>
      </c>
      <c r="I12" s="234">
        <v>13762</v>
      </c>
      <c r="J12" s="234">
        <v>3421.63</v>
      </c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213">
        <f t="shared" si="1"/>
        <v>3421.63</v>
      </c>
    </row>
    <row r="13" spans="1:25" s="214" customFormat="1" ht="12.75">
      <c r="A13" s="468"/>
      <c r="B13" s="215" t="s">
        <v>496</v>
      </c>
      <c r="C13" s="470"/>
      <c r="D13" s="470"/>
      <c r="E13" s="482"/>
      <c r="F13" s="216" t="s">
        <v>493</v>
      </c>
      <c r="G13" s="217">
        <v>0.00403</v>
      </c>
      <c r="H13" s="235">
        <v>199.78</v>
      </c>
      <c r="I13" s="219">
        <v>77.51</v>
      </c>
      <c r="J13" s="369">
        <v>15</v>
      </c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220">
        <f t="shared" si="1"/>
        <v>15</v>
      </c>
    </row>
    <row r="14" spans="1:25" s="214" customFormat="1" ht="12.75" customHeight="1">
      <c r="A14" s="473">
        <v>4</v>
      </c>
      <c r="B14" s="221" t="s">
        <v>489</v>
      </c>
      <c r="C14" s="477" t="s">
        <v>497</v>
      </c>
      <c r="D14" s="477">
        <v>510</v>
      </c>
      <c r="E14" s="483">
        <v>139137.57</v>
      </c>
      <c r="F14" s="236" t="s">
        <v>495</v>
      </c>
      <c r="G14" s="223" t="s">
        <v>486</v>
      </c>
      <c r="H14" s="224">
        <v>26505.24</v>
      </c>
      <c r="I14" s="225">
        <v>26505.24</v>
      </c>
      <c r="J14" s="225">
        <v>6611.32</v>
      </c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227">
        <f t="shared" si="1"/>
        <v>6611.32</v>
      </c>
    </row>
    <row r="15" spans="1:25" s="214" customFormat="1" ht="12.75">
      <c r="A15" s="474"/>
      <c r="B15" s="228" t="s">
        <v>498</v>
      </c>
      <c r="C15" s="478"/>
      <c r="D15" s="478"/>
      <c r="E15" s="484"/>
      <c r="F15" s="229" t="s">
        <v>493</v>
      </c>
      <c r="G15" s="230">
        <v>0.00403</v>
      </c>
      <c r="H15" s="231">
        <v>384.92</v>
      </c>
      <c r="I15" s="232">
        <v>149.41</v>
      </c>
      <c r="J15" s="371">
        <v>25</v>
      </c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233">
        <f t="shared" si="1"/>
        <v>25</v>
      </c>
    </row>
    <row r="16" spans="1:25" s="214" customFormat="1" ht="12.75" customHeight="1">
      <c r="A16" s="467">
        <v>5</v>
      </c>
      <c r="B16" s="207" t="s">
        <v>489</v>
      </c>
      <c r="C16" s="469" t="s">
        <v>499</v>
      </c>
      <c r="D16" s="469">
        <v>512</v>
      </c>
      <c r="E16" s="481">
        <v>33984.33</v>
      </c>
      <c r="F16" s="208" t="s">
        <v>495</v>
      </c>
      <c r="G16" s="209" t="s">
        <v>486</v>
      </c>
      <c r="H16" s="210">
        <v>6476.92</v>
      </c>
      <c r="I16" s="234">
        <v>6476.92</v>
      </c>
      <c r="J16" s="234">
        <v>1599.75</v>
      </c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213">
        <f t="shared" si="1"/>
        <v>1599.75</v>
      </c>
    </row>
    <row r="17" spans="1:25" s="214" customFormat="1" ht="12.75">
      <c r="A17" s="468"/>
      <c r="B17" s="215" t="s">
        <v>500</v>
      </c>
      <c r="C17" s="470"/>
      <c r="D17" s="470"/>
      <c r="E17" s="482"/>
      <c r="F17" s="216" t="s">
        <v>493</v>
      </c>
      <c r="G17" s="217">
        <v>0.00403</v>
      </c>
      <c r="H17" s="235">
        <v>93.95</v>
      </c>
      <c r="I17" s="219">
        <v>36.42</v>
      </c>
      <c r="J17" s="369">
        <v>5</v>
      </c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220">
        <f t="shared" si="1"/>
        <v>5</v>
      </c>
    </row>
    <row r="18" spans="1:25" s="214" customFormat="1" ht="12.75" customHeight="1">
      <c r="A18" s="473">
        <v>6</v>
      </c>
      <c r="B18" s="221" t="s">
        <v>489</v>
      </c>
      <c r="C18" s="477" t="s">
        <v>501</v>
      </c>
      <c r="D18" s="477">
        <v>511</v>
      </c>
      <c r="E18" s="483">
        <v>57932.23</v>
      </c>
      <c r="F18" s="236" t="s">
        <v>495</v>
      </c>
      <c r="G18" s="223" t="s">
        <v>486</v>
      </c>
      <c r="H18" s="224">
        <v>11035.8</v>
      </c>
      <c r="I18" s="225">
        <v>11035.8</v>
      </c>
      <c r="J18" s="225">
        <v>2753.24</v>
      </c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227">
        <f t="shared" si="1"/>
        <v>2753.24</v>
      </c>
    </row>
    <row r="19" spans="1:25" s="214" customFormat="1" ht="12.75">
      <c r="A19" s="474"/>
      <c r="B19" s="228" t="s">
        <v>502</v>
      </c>
      <c r="C19" s="478"/>
      <c r="D19" s="478"/>
      <c r="E19" s="484"/>
      <c r="F19" s="229" t="s">
        <v>493</v>
      </c>
      <c r="G19" s="230">
        <v>0.00403</v>
      </c>
      <c r="H19" s="237">
        <v>155.97</v>
      </c>
      <c r="I19" s="232">
        <v>62.2</v>
      </c>
      <c r="J19" s="372">
        <v>10</v>
      </c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233">
        <f t="shared" si="1"/>
        <v>10</v>
      </c>
    </row>
    <row r="20" spans="1:25" s="214" customFormat="1" ht="12.75" customHeight="1">
      <c r="A20" s="467">
        <v>7</v>
      </c>
      <c r="B20" s="207" t="s">
        <v>489</v>
      </c>
      <c r="C20" s="469" t="s">
        <v>503</v>
      </c>
      <c r="D20" s="469">
        <v>513</v>
      </c>
      <c r="E20" s="481">
        <v>309065.2</v>
      </c>
      <c r="F20" s="208" t="s">
        <v>504</v>
      </c>
      <c r="G20" s="209" t="s">
        <v>486</v>
      </c>
      <c r="H20" s="210">
        <v>58872.76</v>
      </c>
      <c r="I20" s="234">
        <v>58872.76</v>
      </c>
      <c r="J20" s="234">
        <v>14701.45</v>
      </c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213">
        <f t="shared" si="1"/>
        <v>14701.45</v>
      </c>
    </row>
    <row r="21" spans="1:25" s="214" customFormat="1" ht="12.75">
      <c r="A21" s="468"/>
      <c r="B21" s="215" t="s">
        <v>505</v>
      </c>
      <c r="C21" s="470"/>
      <c r="D21" s="470"/>
      <c r="E21" s="482"/>
      <c r="F21" s="216" t="s">
        <v>493</v>
      </c>
      <c r="G21" s="217">
        <v>0.00403</v>
      </c>
      <c r="H21" s="238">
        <v>855.12</v>
      </c>
      <c r="I21" s="219">
        <v>331.9</v>
      </c>
      <c r="J21" s="365">
        <v>45</v>
      </c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220">
        <f t="shared" si="1"/>
        <v>45</v>
      </c>
    </row>
    <row r="22" spans="1:25" s="214" customFormat="1" ht="12.75" customHeight="1">
      <c r="A22" s="473">
        <v>8</v>
      </c>
      <c r="B22" s="221" t="s">
        <v>489</v>
      </c>
      <c r="C22" s="477" t="s">
        <v>506</v>
      </c>
      <c r="D22" s="477">
        <v>514</v>
      </c>
      <c r="E22" s="483">
        <v>41830.47</v>
      </c>
      <c r="F22" s="236" t="s">
        <v>504</v>
      </c>
      <c r="G22" s="223" t="s">
        <v>486</v>
      </c>
      <c r="H22" s="224">
        <v>7968.08</v>
      </c>
      <c r="I22" s="225">
        <v>7968.08</v>
      </c>
      <c r="J22" s="225">
        <v>1990.06</v>
      </c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227">
        <f t="shared" si="1"/>
        <v>1990.06</v>
      </c>
    </row>
    <row r="23" spans="1:25" s="214" customFormat="1" ht="12.75">
      <c r="A23" s="474"/>
      <c r="B23" s="228" t="s">
        <v>507</v>
      </c>
      <c r="C23" s="478"/>
      <c r="D23" s="478"/>
      <c r="E23" s="484"/>
      <c r="F23" s="229" t="s">
        <v>493</v>
      </c>
      <c r="G23" s="230">
        <v>0.0042</v>
      </c>
      <c r="H23" s="237">
        <v>115.06</v>
      </c>
      <c r="I23" s="232">
        <v>45.16</v>
      </c>
      <c r="J23" s="372">
        <v>10</v>
      </c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233">
        <f t="shared" si="1"/>
        <v>10</v>
      </c>
    </row>
    <row r="24" spans="1:25" s="214" customFormat="1" ht="12.75" customHeight="1">
      <c r="A24" s="467">
        <v>9</v>
      </c>
      <c r="B24" s="207" t="s">
        <v>489</v>
      </c>
      <c r="C24" s="469" t="s">
        <v>508</v>
      </c>
      <c r="D24" s="469">
        <v>519</v>
      </c>
      <c r="E24" s="481">
        <v>620226.73</v>
      </c>
      <c r="F24" s="208" t="s">
        <v>504</v>
      </c>
      <c r="G24" s="209" t="s">
        <v>486</v>
      </c>
      <c r="H24" s="210">
        <v>1420</v>
      </c>
      <c r="I24" s="234">
        <v>85548</v>
      </c>
      <c r="J24" s="234">
        <v>85548</v>
      </c>
      <c r="K24" s="234">
        <v>85548</v>
      </c>
      <c r="L24" s="234">
        <v>111868</v>
      </c>
      <c r="M24" s="234">
        <v>111868</v>
      </c>
      <c r="N24" s="234">
        <v>111868</v>
      </c>
      <c r="O24" s="234">
        <v>26558.73</v>
      </c>
      <c r="P24" s="368"/>
      <c r="Q24" s="368"/>
      <c r="R24" s="368"/>
      <c r="S24" s="368"/>
      <c r="T24" s="368"/>
      <c r="U24" s="368"/>
      <c r="V24" s="368"/>
      <c r="W24" s="368"/>
      <c r="X24" s="368"/>
      <c r="Y24" s="213">
        <f t="shared" si="1"/>
        <v>533258.73</v>
      </c>
    </row>
    <row r="25" spans="1:25" s="214" customFormat="1" ht="12.75">
      <c r="A25" s="468"/>
      <c r="B25" s="215" t="s">
        <v>509</v>
      </c>
      <c r="C25" s="470"/>
      <c r="D25" s="470"/>
      <c r="E25" s="482"/>
      <c r="F25" s="216" t="s">
        <v>510</v>
      </c>
      <c r="G25" s="217">
        <v>0.00403</v>
      </c>
      <c r="H25" s="238">
        <v>4284.73</v>
      </c>
      <c r="I25" s="219">
        <v>2999.31</v>
      </c>
      <c r="J25" s="365">
        <v>2510</v>
      </c>
      <c r="K25" s="365">
        <v>2205</v>
      </c>
      <c r="L25" s="365">
        <v>1745</v>
      </c>
      <c r="M25" s="365">
        <v>1185</v>
      </c>
      <c r="N25" s="370">
        <v>620</v>
      </c>
      <c r="O25" s="370">
        <v>95</v>
      </c>
      <c r="P25" s="370"/>
      <c r="Q25" s="370"/>
      <c r="R25" s="370"/>
      <c r="S25" s="370"/>
      <c r="T25" s="370"/>
      <c r="U25" s="370"/>
      <c r="V25" s="370"/>
      <c r="W25" s="370"/>
      <c r="X25" s="370"/>
      <c r="Y25" s="220">
        <f t="shared" si="1"/>
        <v>8360</v>
      </c>
    </row>
    <row r="26" spans="1:25" s="214" customFormat="1" ht="12.75" customHeight="1">
      <c r="A26" s="473">
        <v>10</v>
      </c>
      <c r="B26" s="221" t="s">
        <v>489</v>
      </c>
      <c r="C26" s="477" t="s">
        <v>511</v>
      </c>
      <c r="D26" s="477">
        <v>521</v>
      </c>
      <c r="E26" s="483">
        <v>528555.29</v>
      </c>
      <c r="F26" s="222" t="s">
        <v>512</v>
      </c>
      <c r="G26" s="223" t="s">
        <v>486</v>
      </c>
      <c r="H26" s="224">
        <v>72902.28</v>
      </c>
      <c r="I26" s="225">
        <v>72902.28</v>
      </c>
      <c r="J26" s="225">
        <v>72902.28</v>
      </c>
      <c r="K26" s="225">
        <v>72902.28</v>
      </c>
      <c r="L26" s="225">
        <v>72902.28</v>
      </c>
      <c r="M26" s="225">
        <v>72902.28</v>
      </c>
      <c r="N26" s="225">
        <v>72902.28</v>
      </c>
      <c r="O26" s="225">
        <v>18239.33</v>
      </c>
      <c r="P26" s="366"/>
      <c r="Q26" s="366"/>
      <c r="R26" s="366"/>
      <c r="S26" s="366"/>
      <c r="T26" s="366"/>
      <c r="U26" s="366"/>
      <c r="V26" s="366"/>
      <c r="W26" s="366"/>
      <c r="X26" s="366"/>
      <c r="Y26" s="227">
        <f t="shared" si="1"/>
        <v>382750.73000000004</v>
      </c>
    </row>
    <row r="27" spans="1:25" s="214" customFormat="1" ht="12.75">
      <c r="A27" s="474"/>
      <c r="B27" s="228" t="s">
        <v>513</v>
      </c>
      <c r="C27" s="478"/>
      <c r="D27" s="478"/>
      <c r="E27" s="484"/>
      <c r="F27" s="239">
        <v>44275</v>
      </c>
      <c r="G27" s="230">
        <v>0.00403</v>
      </c>
      <c r="H27" s="231">
        <v>3550.14</v>
      </c>
      <c r="I27" s="232">
        <v>2221.8</v>
      </c>
      <c r="J27" s="371">
        <v>1790</v>
      </c>
      <c r="K27" s="371">
        <v>1515</v>
      </c>
      <c r="L27" s="371">
        <v>1145</v>
      </c>
      <c r="M27" s="371">
        <v>775</v>
      </c>
      <c r="N27" s="371">
        <v>410</v>
      </c>
      <c r="O27" s="371">
        <v>65</v>
      </c>
      <c r="P27" s="367"/>
      <c r="Q27" s="367"/>
      <c r="R27" s="367"/>
      <c r="S27" s="367"/>
      <c r="T27" s="367"/>
      <c r="U27" s="367"/>
      <c r="V27" s="367"/>
      <c r="W27" s="367"/>
      <c r="X27" s="367"/>
      <c r="Y27" s="233">
        <f t="shared" si="1"/>
        <v>5700</v>
      </c>
    </row>
    <row r="28" spans="1:25" s="214" customFormat="1" ht="12.75" customHeight="1">
      <c r="A28" s="467">
        <v>11</v>
      </c>
      <c r="B28" s="207" t="s">
        <v>489</v>
      </c>
      <c r="C28" s="469" t="s">
        <v>514</v>
      </c>
      <c r="D28" s="469">
        <v>520</v>
      </c>
      <c r="E28" s="481">
        <v>37946.57</v>
      </c>
      <c r="F28" s="208" t="s">
        <v>504</v>
      </c>
      <c r="G28" s="209" t="s">
        <v>486</v>
      </c>
      <c r="H28" s="210">
        <v>7228.2</v>
      </c>
      <c r="I28" s="234">
        <v>7228.2</v>
      </c>
      <c r="J28" s="234">
        <v>1805.6</v>
      </c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213">
        <f t="shared" si="1"/>
        <v>1805.6</v>
      </c>
    </row>
    <row r="29" spans="1:25" s="214" customFormat="1" ht="12.75">
      <c r="A29" s="468"/>
      <c r="B29" s="215" t="s">
        <v>515</v>
      </c>
      <c r="C29" s="470"/>
      <c r="D29" s="470"/>
      <c r="E29" s="482"/>
      <c r="F29" s="216" t="s">
        <v>493</v>
      </c>
      <c r="G29" s="217">
        <v>0.00403</v>
      </c>
      <c r="H29" s="235">
        <v>105</v>
      </c>
      <c r="I29" s="219">
        <v>40.76</v>
      </c>
      <c r="J29" s="369">
        <v>10</v>
      </c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220">
        <f t="shared" si="1"/>
        <v>10</v>
      </c>
    </row>
    <row r="30" spans="1:25" s="214" customFormat="1" ht="12.75">
      <c r="A30" s="473">
        <v>12</v>
      </c>
      <c r="B30" s="221" t="s">
        <v>489</v>
      </c>
      <c r="C30" s="477" t="s">
        <v>516</v>
      </c>
      <c r="D30" s="477">
        <v>529</v>
      </c>
      <c r="E30" s="483">
        <v>1734805.15</v>
      </c>
      <c r="F30" s="222" t="s">
        <v>517</v>
      </c>
      <c r="G30" s="223" t="s">
        <v>486</v>
      </c>
      <c r="H30" s="240">
        <v>1420</v>
      </c>
      <c r="I30" s="225">
        <v>210276</v>
      </c>
      <c r="J30" s="373">
        <v>210276</v>
      </c>
      <c r="K30" s="373">
        <v>210276</v>
      </c>
      <c r="L30" s="225">
        <v>259752</v>
      </c>
      <c r="M30" s="225">
        <v>259752</v>
      </c>
      <c r="N30" s="225">
        <v>259752</v>
      </c>
      <c r="O30" s="225">
        <v>259752</v>
      </c>
      <c r="P30" s="225">
        <v>63549.15</v>
      </c>
      <c r="Q30" s="366"/>
      <c r="R30" s="366"/>
      <c r="S30" s="366"/>
      <c r="T30" s="366"/>
      <c r="U30" s="366"/>
      <c r="V30" s="366"/>
      <c r="W30" s="366"/>
      <c r="X30" s="366"/>
      <c r="Y30" s="227">
        <f t="shared" si="1"/>
        <v>1523109.15</v>
      </c>
    </row>
    <row r="31" spans="1:25" s="214" customFormat="1" ht="12.75">
      <c r="A31" s="474"/>
      <c r="B31" s="228" t="s">
        <v>518</v>
      </c>
      <c r="C31" s="478"/>
      <c r="D31" s="478"/>
      <c r="E31" s="484"/>
      <c r="F31" s="229" t="s">
        <v>519</v>
      </c>
      <c r="G31" s="230">
        <v>0.0042</v>
      </c>
      <c r="H31" s="231">
        <v>11915.91</v>
      </c>
      <c r="I31" s="232">
        <v>8517.3</v>
      </c>
      <c r="J31" s="371">
        <v>7260</v>
      </c>
      <c r="K31" s="371">
        <v>6495</v>
      </c>
      <c r="L31" s="371">
        <v>5375</v>
      </c>
      <c r="M31" s="371">
        <v>4070</v>
      </c>
      <c r="N31" s="371">
        <v>2765</v>
      </c>
      <c r="O31" s="371">
        <v>1440</v>
      </c>
      <c r="P31" s="367">
        <v>225</v>
      </c>
      <c r="Q31" s="367"/>
      <c r="R31" s="367"/>
      <c r="S31" s="367"/>
      <c r="T31" s="367"/>
      <c r="U31" s="367"/>
      <c r="V31" s="367"/>
      <c r="W31" s="367"/>
      <c r="X31" s="367"/>
      <c r="Y31" s="233">
        <f t="shared" si="1"/>
        <v>27630</v>
      </c>
    </row>
    <row r="32" spans="1:25" s="214" customFormat="1" ht="12.75" customHeight="1">
      <c r="A32" s="467">
        <v>13</v>
      </c>
      <c r="B32" s="207" t="s">
        <v>489</v>
      </c>
      <c r="C32" s="469" t="s">
        <v>520</v>
      </c>
      <c r="D32" s="469">
        <v>530</v>
      </c>
      <c r="E32" s="481">
        <v>384955.12</v>
      </c>
      <c r="F32" s="241" t="s">
        <v>517</v>
      </c>
      <c r="G32" s="209" t="s">
        <v>486</v>
      </c>
      <c r="H32" s="210">
        <v>53500</v>
      </c>
      <c r="I32" s="234">
        <v>53500</v>
      </c>
      <c r="J32" s="234">
        <v>53500</v>
      </c>
      <c r="K32" s="234">
        <v>10455.2</v>
      </c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213">
        <f t="shared" si="1"/>
        <v>63955.2</v>
      </c>
    </row>
    <row r="33" spans="1:25" s="214" customFormat="1" ht="13.5" customHeight="1">
      <c r="A33" s="468"/>
      <c r="B33" s="215" t="s">
        <v>521</v>
      </c>
      <c r="C33" s="470"/>
      <c r="D33" s="470"/>
      <c r="E33" s="482"/>
      <c r="F33" s="216" t="s">
        <v>519</v>
      </c>
      <c r="G33" s="217">
        <v>0.0042</v>
      </c>
      <c r="H33" s="238">
        <v>1119.96</v>
      </c>
      <c r="I33" s="219">
        <v>550.51</v>
      </c>
      <c r="J33" s="365">
        <v>270</v>
      </c>
      <c r="K33" s="365">
        <v>40</v>
      </c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220">
        <f t="shared" si="1"/>
        <v>310</v>
      </c>
    </row>
    <row r="34" spans="1:25" s="214" customFormat="1" ht="12.75" customHeight="1">
      <c r="A34" s="473">
        <v>14</v>
      </c>
      <c r="B34" s="221" t="s">
        <v>489</v>
      </c>
      <c r="C34" s="477" t="s">
        <v>522</v>
      </c>
      <c r="D34" s="477">
        <v>531</v>
      </c>
      <c r="E34" s="483">
        <v>907593.01</v>
      </c>
      <c r="F34" s="222" t="s">
        <v>517</v>
      </c>
      <c r="G34" s="223" t="s">
        <v>486</v>
      </c>
      <c r="H34" s="224">
        <v>109840</v>
      </c>
      <c r="I34" s="225">
        <v>109840</v>
      </c>
      <c r="J34" s="225">
        <v>109840</v>
      </c>
      <c r="K34" s="225">
        <v>109840</v>
      </c>
      <c r="L34" s="225">
        <v>109840</v>
      </c>
      <c r="M34" s="225">
        <v>109840</v>
      </c>
      <c r="N34" s="225">
        <v>109840</v>
      </c>
      <c r="O34" s="225">
        <v>109840</v>
      </c>
      <c r="P34" s="225">
        <v>27450.14</v>
      </c>
      <c r="Q34" s="366"/>
      <c r="R34" s="366"/>
      <c r="S34" s="366"/>
      <c r="T34" s="366"/>
      <c r="U34" s="366"/>
      <c r="V34" s="366"/>
      <c r="W34" s="366"/>
      <c r="X34" s="366"/>
      <c r="Y34" s="227">
        <f t="shared" si="1"/>
        <v>686490.14</v>
      </c>
    </row>
    <row r="35" spans="1:25" s="214" customFormat="1" ht="12.75">
      <c r="A35" s="474"/>
      <c r="B35" s="228" t="s">
        <v>523</v>
      </c>
      <c r="C35" s="478"/>
      <c r="D35" s="478"/>
      <c r="E35" s="484"/>
      <c r="F35" s="229" t="s">
        <v>524</v>
      </c>
      <c r="G35" s="230">
        <v>0.0042</v>
      </c>
      <c r="H35" s="231">
        <v>6070.82</v>
      </c>
      <c r="I35" s="232">
        <v>3933.08</v>
      </c>
      <c r="J35" s="371">
        <v>3260</v>
      </c>
      <c r="K35" s="371">
        <v>2840</v>
      </c>
      <c r="L35" s="371">
        <v>2280</v>
      </c>
      <c r="M35" s="371">
        <v>1725</v>
      </c>
      <c r="N35" s="371">
        <v>1170</v>
      </c>
      <c r="O35" s="371">
        <v>610</v>
      </c>
      <c r="P35" s="367">
        <v>100</v>
      </c>
      <c r="Q35" s="367"/>
      <c r="R35" s="367"/>
      <c r="S35" s="367"/>
      <c r="T35" s="367"/>
      <c r="U35" s="367"/>
      <c r="V35" s="367"/>
      <c r="W35" s="367"/>
      <c r="X35" s="367"/>
      <c r="Y35" s="233">
        <f t="shared" si="1"/>
        <v>11985</v>
      </c>
    </row>
    <row r="36" spans="1:25" s="214" customFormat="1" ht="12.75" customHeight="1">
      <c r="A36" s="467">
        <v>15</v>
      </c>
      <c r="B36" s="207" t="s">
        <v>489</v>
      </c>
      <c r="C36" s="469" t="s">
        <v>525</v>
      </c>
      <c r="D36" s="469">
        <v>528</v>
      </c>
      <c r="E36" s="481">
        <v>3463800.72</v>
      </c>
      <c r="F36" s="241" t="s">
        <v>517</v>
      </c>
      <c r="G36" s="209" t="s">
        <v>486</v>
      </c>
      <c r="H36" s="210">
        <v>1420</v>
      </c>
      <c r="I36" s="234">
        <v>419852</v>
      </c>
      <c r="J36" s="234">
        <v>419852</v>
      </c>
      <c r="K36" s="234">
        <v>419852</v>
      </c>
      <c r="L36" s="234">
        <v>518640</v>
      </c>
      <c r="M36" s="234">
        <v>518640</v>
      </c>
      <c r="N36" s="234">
        <v>518640</v>
      </c>
      <c r="O36" s="234">
        <v>518640</v>
      </c>
      <c r="P36" s="234">
        <v>128264.72</v>
      </c>
      <c r="Q36" s="368"/>
      <c r="R36" s="368"/>
      <c r="S36" s="368"/>
      <c r="T36" s="368"/>
      <c r="U36" s="368"/>
      <c r="V36" s="368"/>
      <c r="W36" s="368"/>
      <c r="X36" s="368"/>
      <c r="Y36" s="213">
        <f t="shared" si="1"/>
        <v>3042528.72</v>
      </c>
    </row>
    <row r="37" spans="1:25" s="214" customFormat="1" ht="12.75">
      <c r="A37" s="468"/>
      <c r="B37" s="215" t="s">
        <v>526</v>
      </c>
      <c r="C37" s="470"/>
      <c r="D37" s="470"/>
      <c r="E37" s="482"/>
      <c r="F37" s="216" t="s">
        <v>524</v>
      </c>
      <c r="G37" s="217">
        <v>0.0042</v>
      </c>
      <c r="H37" s="238">
        <v>23793.42</v>
      </c>
      <c r="I37" s="219">
        <v>17012.84</v>
      </c>
      <c r="J37" s="365">
        <v>14500</v>
      </c>
      <c r="K37" s="365">
        <v>12970</v>
      </c>
      <c r="L37" s="365">
        <v>10735</v>
      </c>
      <c r="M37" s="365">
        <v>8135</v>
      </c>
      <c r="N37" s="365">
        <v>5520</v>
      </c>
      <c r="O37" s="365">
        <v>2875</v>
      </c>
      <c r="P37" s="370">
        <v>450</v>
      </c>
      <c r="Q37" s="370"/>
      <c r="R37" s="370"/>
      <c r="S37" s="370"/>
      <c r="T37" s="370"/>
      <c r="U37" s="370"/>
      <c r="V37" s="370"/>
      <c r="W37" s="370"/>
      <c r="X37" s="370"/>
      <c r="Y37" s="220">
        <f t="shared" si="1"/>
        <v>55185</v>
      </c>
    </row>
    <row r="38" spans="1:25" s="214" customFormat="1" ht="12.75" customHeight="1">
      <c r="A38" s="467">
        <v>16</v>
      </c>
      <c r="B38" s="207" t="s">
        <v>489</v>
      </c>
      <c r="C38" s="469" t="s">
        <v>527</v>
      </c>
      <c r="D38" s="469">
        <v>527</v>
      </c>
      <c r="E38" s="481">
        <v>718692.55</v>
      </c>
      <c r="F38" s="241" t="s">
        <v>517</v>
      </c>
      <c r="G38" s="209" t="s">
        <v>486</v>
      </c>
      <c r="H38" s="210">
        <v>87113.92</v>
      </c>
      <c r="I38" s="234">
        <v>87113.92</v>
      </c>
      <c r="J38" s="234">
        <v>87113.92</v>
      </c>
      <c r="K38" s="234">
        <v>87113.92</v>
      </c>
      <c r="L38" s="234">
        <v>87113.92</v>
      </c>
      <c r="M38" s="234">
        <v>87113.92</v>
      </c>
      <c r="N38" s="234">
        <v>87113.92</v>
      </c>
      <c r="O38" s="234">
        <v>87113.92</v>
      </c>
      <c r="P38" s="234">
        <v>21781.19</v>
      </c>
      <c r="Q38" s="234"/>
      <c r="R38" s="234"/>
      <c r="S38" s="234"/>
      <c r="T38" s="234"/>
      <c r="U38" s="234"/>
      <c r="V38" s="234"/>
      <c r="W38" s="234"/>
      <c r="X38" s="234"/>
      <c r="Y38" s="213">
        <f t="shared" si="1"/>
        <v>544464.71</v>
      </c>
    </row>
    <row r="39" spans="1:25" s="214" customFormat="1" ht="12.75">
      <c r="A39" s="468"/>
      <c r="B39" s="215" t="s">
        <v>528</v>
      </c>
      <c r="C39" s="470"/>
      <c r="D39" s="470"/>
      <c r="E39" s="482"/>
      <c r="F39" s="216" t="s">
        <v>524</v>
      </c>
      <c r="G39" s="217">
        <v>0.0042</v>
      </c>
      <c r="H39" s="238">
        <v>4814.95</v>
      </c>
      <c r="I39" s="219">
        <v>3114.85</v>
      </c>
      <c r="J39" s="365">
        <v>2585</v>
      </c>
      <c r="K39" s="365">
        <v>2250</v>
      </c>
      <c r="L39" s="365">
        <v>1810</v>
      </c>
      <c r="M39" s="365">
        <v>1370</v>
      </c>
      <c r="N39" s="365">
        <v>930</v>
      </c>
      <c r="O39" s="365">
        <v>485</v>
      </c>
      <c r="P39" s="365">
        <v>80</v>
      </c>
      <c r="Q39" s="364"/>
      <c r="R39" s="364"/>
      <c r="S39" s="364"/>
      <c r="T39" s="364"/>
      <c r="U39" s="364"/>
      <c r="V39" s="364"/>
      <c r="W39" s="364"/>
      <c r="X39" s="364"/>
      <c r="Y39" s="220">
        <f t="shared" si="1"/>
        <v>9510</v>
      </c>
    </row>
    <row r="40" spans="1:25" s="214" customFormat="1" ht="12.75" customHeight="1">
      <c r="A40" s="467">
        <v>17</v>
      </c>
      <c r="B40" s="207" t="s">
        <v>489</v>
      </c>
      <c r="C40" s="469" t="s">
        <v>751</v>
      </c>
      <c r="D40" s="469">
        <v>526</v>
      </c>
      <c r="E40" s="481">
        <v>754990.52</v>
      </c>
      <c r="F40" s="241" t="s">
        <v>517</v>
      </c>
      <c r="G40" s="209" t="s">
        <v>486</v>
      </c>
      <c r="H40" s="210">
        <v>91342.68</v>
      </c>
      <c r="I40" s="234">
        <v>91342.68</v>
      </c>
      <c r="J40" s="234">
        <v>91342.68</v>
      </c>
      <c r="K40" s="234">
        <v>91342.68</v>
      </c>
      <c r="L40" s="234">
        <v>91342.68</v>
      </c>
      <c r="M40" s="234">
        <v>91342.68</v>
      </c>
      <c r="N40" s="234">
        <v>91342.68</v>
      </c>
      <c r="O40" s="234">
        <v>91342.68</v>
      </c>
      <c r="P40" s="234">
        <v>22826.21</v>
      </c>
      <c r="Q40" s="234"/>
      <c r="R40" s="234"/>
      <c r="S40" s="234"/>
      <c r="T40" s="234"/>
      <c r="U40" s="234"/>
      <c r="V40" s="234"/>
      <c r="W40" s="234"/>
      <c r="X40" s="234"/>
      <c r="Y40" s="213">
        <f t="shared" si="1"/>
        <v>570882.2899999999</v>
      </c>
    </row>
    <row r="41" spans="1:25" s="214" customFormat="1" ht="12.75">
      <c r="A41" s="468"/>
      <c r="B41" s="215" t="s">
        <v>529</v>
      </c>
      <c r="C41" s="470"/>
      <c r="D41" s="470"/>
      <c r="E41" s="482"/>
      <c r="F41" s="216" t="s">
        <v>524</v>
      </c>
      <c r="G41" s="217">
        <v>0.0042</v>
      </c>
      <c r="H41" s="238">
        <v>5048.55</v>
      </c>
      <c r="I41" s="219">
        <v>3266</v>
      </c>
      <c r="J41" s="365">
        <v>2710</v>
      </c>
      <c r="K41" s="365">
        <v>2360</v>
      </c>
      <c r="L41" s="365">
        <v>1900</v>
      </c>
      <c r="M41" s="365">
        <v>1435</v>
      </c>
      <c r="N41" s="365">
        <v>975</v>
      </c>
      <c r="O41" s="365">
        <v>510</v>
      </c>
      <c r="P41" s="365">
        <v>80</v>
      </c>
      <c r="Q41" s="364"/>
      <c r="R41" s="364"/>
      <c r="S41" s="364"/>
      <c r="T41" s="364"/>
      <c r="U41" s="364"/>
      <c r="V41" s="364"/>
      <c r="W41" s="364"/>
      <c r="X41" s="364"/>
      <c r="Y41" s="220">
        <f t="shared" si="1"/>
        <v>9970</v>
      </c>
    </row>
    <row r="42" spans="1:25" s="214" customFormat="1" ht="12.75" customHeight="1">
      <c r="A42" s="473">
        <v>18</v>
      </c>
      <c r="B42" s="221" t="s">
        <v>489</v>
      </c>
      <c r="C42" s="477" t="s">
        <v>530</v>
      </c>
      <c r="D42" s="477">
        <v>535</v>
      </c>
      <c r="E42" s="483">
        <v>2963664.12</v>
      </c>
      <c r="F42" s="236" t="s">
        <v>531</v>
      </c>
      <c r="G42" s="223" t="s">
        <v>486</v>
      </c>
      <c r="H42" s="224">
        <v>223567.32</v>
      </c>
      <c r="I42" s="225">
        <v>223567.32</v>
      </c>
      <c r="J42" s="225">
        <v>223567.32</v>
      </c>
      <c r="K42" s="225">
        <v>223567.32</v>
      </c>
      <c r="L42" s="225">
        <v>223567.32</v>
      </c>
      <c r="M42" s="225">
        <v>223567.32</v>
      </c>
      <c r="N42" s="225">
        <v>223567.32</v>
      </c>
      <c r="O42" s="225">
        <v>223567.32</v>
      </c>
      <c r="P42" s="225">
        <v>223567.32</v>
      </c>
      <c r="Q42" s="225">
        <v>223567.32</v>
      </c>
      <c r="R42" s="225">
        <v>223567.32</v>
      </c>
      <c r="S42" s="225">
        <v>223567.32</v>
      </c>
      <c r="T42" s="225">
        <v>223567.32</v>
      </c>
      <c r="U42" s="225">
        <v>55866.09</v>
      </c>
      <c r="V42" s="225"/>
      <c r="W42" s="225"/>
      <c r="X42" s="225"/>
      <c r="Y42" s="227">
        <f t="shared" si="1"/>
        <v>2515106.61</v>
      </c>
    </row>
    <row r="43" spans="1:25" s="214" customFormat="1" ht="12.75">
      <c r="A43" s="474"/>
      <c r="B43" s="228" t="s">
        <v>532</v>
      </c>
      <c r="C43" s="478"/>
      <c r="D43" s="478"/>
      <c r="E43" s="484"/>
      <c r="F43" s="229" t="s">
        <v>533</v>
      </c>
      <c r="G43" s="230">
        <v>0.00403</v>
      </c>
      <c r="H43" s="231">
        <v>20155.78</v>
      </c>
      <c r="I43" s="232">
        <v>13383.77</v>
      </c>
      <c r="J43" s="371">
        <v>11975</v>
      </c>
      <c r="K43" s="371">
        <v>11445</v>
      </c>
      <c r="L43" s="371">
        <v>10310</v>
      </c>
      <c r="M43" s="371">
        <v>9175</v>
      </c>
      <c r="N43" s="371">
        <v>8065</v>
      </c>
      <c r="O43" s="371">
        <v>6910</v>
      </c>
      <c r="P43" s="371">
        <v>5775</v>
      </c>
      <c r="Q43" s="371">
        <v>4645</v>
      </c>
      <c r="R43" s="371">
        <v>3520</v>
      </c>
      <c r="S43" s="371">
        <v>2375</v>
      </c>
      <c r="T43" s="371">
        <v>1245</v>
      </c>
      <c r="U43" s="371">
        <v>200</v>
      </c>
      <c r="V43" s="374"/>
      <c r="W43" s="374"/>
      <c r="X43" s="374"/>
      <c r="Y43" s="233">
        <f t="shared" si="1"/>
        <v>75640</v>
      </c>
    </row>
    <row r="44" spans="1:25" s="214" customFormat="1" ht="12.75" customHeight="1">
      <c r="A44" s="467">
        <v>19</v>
      </c>
      <c r="B44" s="207" t="s">
        <v>489</v>
      </c>
      <c r="C44" s="469" t="s">
        <v>534</v>
      </c>
      <c r="D44" s="469">
        <v>533</v>
      </c>
      <c r="E44" s="481">
        <v>55090.75</v>
      </c>
      <c r="F44" s="208" t="s">
        <v>531</v>
      </c>
      <c r="G44" s="209" t="s">
        <v>486</v>
      </c>
      <c r="H44" s="210">
        <v>5959</v>
      </c>
      <c r="I44" s="234">
        <v>5959</v>
      </c>
      <c r="J44" s="234">
        <v>5959</v>
      </c>
      <c r="K44" s="234">
        <v>5959</v>
      </c>
      <c r="L44" s="234">
        <v>5959</v>
      </c>
      <c r="M44" s="234">
        <v>5959</v>
      </c>
      <c r="N44" s="234">
        <v>5959</v>
      </c>
      <c r="O44" s="234">
        <v>5959</v>
      </c>
      <c r="P44" s="234">
        <v>1459.76</v>
      </c>
      <c r="Q44" s="234"/>
      <c r="R44" s="234"/>
      <c r="S44" s="234"/>
      <c r="T44" s="234"/>
      <c r="U44" s="234"/>
      <c r="V44" s="234"/>
      <c r="W44" s="234"/>
      <c r="X44" s="234"/>
      <c r="Y44" s="213">
        <f t="shared" si="1"/>
        <v>37213.76</v>
      </c>
    </row>
    <row r="45" spans="1:25" s="214" customFormat="1" ht="12.75">
      <c r="A45" s="468"/>
      <c r="B45" s="215" t="s">
        <v>535</v>
      </c>
      <c r="C45" s="470"/>
      <c r="D45" s="470"/>
      <c r="E45" s="482"/>
      <c r="F45" s="216" t="s">
        <v>536</v>
      </c>
      <c r="G45" s="217">
        <v>0.00403</v>
      </c>
      <c r="H45" s="238">
        <v>333.42</v>
      </c>
      <c r="I45" s="219">
        <v>211.14</v>
      </c>
      <c r="J45" s="365">
        <v>175</v>
      </c>
      <c r="K45" s="365">
        <v>155</v>
      </c>
      <c r="L45" s="365">
        <v>125</v>
      </c>
      <c r="M45" s="365">
        <v>95</v>
      </c>
      <c r="N45" s="365">
        <v>65</v>
      </c>
      <c r="O45" s="365">
        <v>35</v>
      </c>
      <c r="P45" s="365">
        <v>5</v>
      </c>
      <c r="Q45" s="364"/>
      <c r="R45" s="364"/>
      <c r="S45" s="364"/>
      <c r="T45" s="364"/>
      <c r="U45" s="364"/>
      <c r="V45" s="364"/>
      <c r="W45" s="364"/>
      <c r="X45" s="364"/>
      <c r="Y45" s="220">
        <f t="shared" si="1"/>
        <v>655</v>
      </c>
    </row>
    <row r="46" spans="1:25" s="214" customFormat="1" ht="12.75" customHeight="1">
      <c r="A46" s="473">
        <v>20</v>
      </c>
      <c r="B46" s="221" t="s">
        <v>489</v>
      </c>
      <c r="C46" s="477" t="s">
        <v>537</v>
      </c>
      <c r="D46" s="477">
        <v>536</v>
      </c>
      <c r="E46" s="483">
        <v>4539311.1</v>
      </c>
      <c r="F46" s="236" t="s">
        <v>531</v>
      </c>
      <c r="G46" s="223" t="s">
        <v>486</v>
      </c>
      <c r="H46" s="242">
        <v>1420</v>
      </c>
      <c r="I46" s="225">
        <v>342476</v>
      </c>
      <c r="J46" s="225">
        <v>342476</v>
      </c>
      <c r="K46" s="225">
        <v>342476</v>
      </c>
      <c r="L46" s="225">
        <v>379500</v>
      </c>
      <c r="M46" s="225">
        <v>379500</v>
      </c>
      <c r="N46" s="225">
        <v>379500</v>
      </c>
      <c r="O46" s="225">
        <v>379500</v>
      </c>
      <c r="P46" s="225">
        <v>379500</v>
      </c>
      <c r="Q46" s="225">
        <v>379500</v>
      </c>
      <c r="R46" s="225">
        <v>379500</v>
      </c>
      <c r="S46" s="225">
        <v>379500</v>
      </c>
      <c r="T46" s="225">
        <v>379500</v>
      </c>
      <c r="U46" s="225">
        <v>93540.23</v>
      </c>
      <c r="V46" s="225"/>
      <c r="W46" s="225"/>
      <c r="X46" s="225"/>
      <c r="Y46" s="227">
        <f t="shared" si="1"/>
        <v>4193992.23</v>
      </c>
    </row>
    <row r="47" spans="1:25" s="214" customFormat="1" ht="12.75">
      <c r="A47" s="474"/>
      <c r="B47" s="228" t="s">
        <v>538</v>
      </c>
      <c r="C47" s="478"/>
      <c r="D47" s="478"/>
      <c r="E47" s="484"/>
      <c r="F47" s="229" t="s">
        <v>533</v>
      </c>
      <c r="G47" s="230">
        <v>0.00403</v>
      </c>
      <c r="H47" s="231">
        <v>31358.37</v>
      </c>
      <c r="I47" s="232">
        <v>22239.87</v>
      </c>
      <c r="J47" s="371">
        <v>20000</v>
      </c>
      <c r="K47" s="371">
        <v>19260</v>
      </c>
      <c r="L47" s="371">
        <v>17485</v>
      </c>
      <c r="M47" s="371">
        <v>15570</v>
      </c>
      <c r="N47" s="371">
        <v>13685</v>
      </c>
      <c r="O47" s="371">
        <v>11725</v>
      </c>
      <c r="P47" s="371">
        <v>9800</v>
      </c>
      <c r="Q47" s="371">
        <v>7875</v>
      </c>
      <c r="R47" s="371">
        <v>5970</v>
      </c>
      <c r="S47" s="371">
        <v>4025</v>
      </c>
      <c r="T47" s="371">
        <v>2105</v>
      </c>
      <c r="U47" s="371">
        <v>330</v>
      </c>
      <c r="V47" s="374"/>
      <c r="W47" s="374"/>
      <c r="X47" s="374"/>
      <c r="Y47" s="233">
        <f t="shared" si="1"/>
        <v>127830</v>
      </c>
    </row>
    <row r="48" spans="1:25" s="214" customFormat="1" ht="12.75" customHeight="1">
      <c r="A48" s="467">
        <v>21</v>
      </c>
      <c r="B48" s="207" t="s">
        <v>489</v>
      </c>
      <c r="C48" s="469" t="s">
        <v>539</v>
      </c>
      <c r="D48" s="469">
        <v>537</v>
      </c>
      <c r="E48" s="481">
        <v>5020748.32</v>
      </c>
      <c r="F48" s="208" t="s">
        <v>531</v>
      </c>
      <c r="G48" s="209" t="s">
        <v>486</v>
      </c>
      <c r="H48" s="210">
        <v>1420</v>
      </c>
      <c r="I48" s="234">
        <v>378816</v>
      </c>
      <c r="J48" s="234">
        <v>378816</v>
      </c>
      <c r="K48" s="234">
        <v>378816</v>
      </c>
      <c r="L48" s="234">
        <v>419772</v>
      </c>
      <c r="M48" s="234">
        <v>419772</v>
      </c>
      <c r="N48" s="234">
        <v>419772</v>
      </c>
      <c r="O48" s="234">
        <v>419772</v>
      </c>
      <c r="P48" s="234">
        <v>419772</v>
      </c>
      <c r="Q48" s="234">
        <v>419772</v>
      </c>
      <c r="R48" s="234">
        <v>419772</v>
      </c>
      <c r="S48" s="234">
        <v>419772</v>
      </c>
      <c r="T48" s="234">
        <v>419772</v>
      </c>
      <c r="U48" s="234">
        <v>103509.44</v>
      </c>
      <c r="V48" s="234"/>
      <c r="W48" s="234"/>
      <c r="X48" s="234"/>
      <c r="Y48" s="213">
        <f t="shared" si="1"/>
        <v>4639089.44</v>
      </c>
    </row>
    <row r="49" spans="1:25" s="214" customFormat="1" ht="12.75">
      <c r="A49" s="468"/>
      <c r="B49" s="215" t="s">
        <v>540</v>
      </c>
      <c r="C49" s="470"/>
      <c r="D49" s="470"/>
      <c r="E49" s="482"/>
      <c r="F49" s="216" t="s">
        <v>533</v>
      </c>
      <c r="G49" s="217">
        <v>0.00403</v>
      </c>
      <c r="H49" s="238">
        <v>34685.43</v>
      </c>
      <c r="I49" s="219">
        <v>24598.99</v>
      </c>
      <c r="J49" s="365">
        <v>22120</v>
      </c>
      <c r="K49" s="365">
        <v>21305</v>
      </c>
      <c r="L49" s="365">
        <v>19340</v>
      </c>
      <c r="M49" s="365">
        <v>17225</v>
      </c>
      <c r="N49" s="365">
        <v>15135</v>
      </c>
      <c r="O49" s="365">
        <v>12965</v>
      </c>
      <c r="P49" s="365">
        <v>10840</v>
      </c>
      <c r="Q49" s="365">
        <v>8710</v>
      </c>
      <c r="R49" s="365">
        <v>6600</v>
      </c>
      <c r="S49" s="365">
        <v>4455</v>
      </c>
      <c r="T49" s="365">
        <v>2325</v>
      </c>
      <c r="U49" s="365">
        <v>365</v>
      </c>
      <c r="V49" s="365"/>
      <c r="W49" s="365"/>
      <c r="X49" s="365"/>
      <c r="Y49" s="220">
        <f t="shared" si="1"/>
        <v>141385</v>
      </c>
    </row>
    <row r="50" spans="1:25" s="214" customFormat="1" ht="12.75" customHeight="1">
      <c r="A50" s="473">
        <v>22</v>
      </c>
      <c r="B50" s="221" t="s">
        <v>489</v>
      </c>
      <c r="C50" s="477" t="s">
        <v>541</v>
      </c>
      <c r="D50" s="477">
        <v>538</v>
      </c>
      <c r="E50" s="483">
        <v>367297.28</v>
      </c>
      <c r="F50" s="236" t="s">
        <v>531</v>
      </c>
      <c r="G50" s="223" t="s">
        <v>486</v>
      </c>
      <c r="H50" s="224">
        <v>39709.52</v>
      </c>
      <c r="I50" s="225">
        <v>39709.52</v>
      </c>
      <c r="J50" s="225">
        <v>39709.52</v>
      </c>
      <c r="K50" s="225">
        <v>39709.52</v>
      </c>
      <c r="L50" s="225">
        <v>39709.52</v>
      </c>
      <c r="M50" s="225">
        <v>39709.52</v>
      </c>
      <c r="N50" s="225">
        <v>39709.52</v>
      </c>
      <c r="O50" s="225">
        <v>39709.52</v>
      </c>
      <c r="P50" s="225">
        <v>9911.62</v>
      </c>
      <c r="Q50" s="225"/>
      <c r="R50" s="225"/>
      <c r="S50" s="225"/>
      <c r="T50" s="225"/>
      <c r="U50" s="225"/>
      <c r="V50" s="225"/>
      <c r="W50" s="225"/>
      <c r="X50" s="225"/>
      <c r="Y50" s="227">
        <f t="shared" si="1"/>
        <v>248168.73999999996</v>
      </c>
    </row>
    <row r="51" spans="1:25" s="214" customFormat="1" ht="12.75">
      <c r="A51" s="474"/>
      <c r="B51" s="228" t="s">
        <v>542</v>
      </c>
      <c r="C51" s="478"/>
      <c r="D51" s="478"/>
      <c r="E51" s="484"/>
      <c r="F51" s="229" t="s">
        <v>536</v>
      </c>
      <c r="G51" s="230">
        <v>0.00403</v>
      </c>
      <c r="H51" s="231">
        <v>2223.23</v>
      </c>
      <c r="I51" s="232">
        <v>1408</v>
      </c>
      <c r="J51" s="371">
        <v>1170</v>
      </c>
      <c r="K51" s="371">
        <v>1025</v>
      </c>
      <c r="L51" s="371">
        <v>825</v>
      </c>
      <c r="M51" s="371">
        <v>625</v>
      </c>
      <c r="N51" s="371">
        <v>425</v>
      </c>
      <c r="O51" s="371">
        <v>225</v>
      </c>
      <c r="P51" s="371">
        <v>35</v>
      </c>
      <c r="Q51" s="371"/>
      <c r="R51" s="374"/>
      <c r="S51" s="374"/>
      <c r="T51" s="374"/>
      <c r="U51" s="374"/>
      <c r="V51" s="374"/>
      <c r="W51" s="374"/>
      <c r="X51" s="374"/>
      <c r="Y51" s="233">
        <f t="shared" si="1"/>
        <v>4330</v>
      </c>
    </row>
    <row r="52" spans="1:25" s="214" customFormat="1" ht="12.75" customHeight="1">
      <c r="A52" s="467">
        <v>23</v>
      </c>
      <c r="B52" s="207" t="s">
        <v>489</v>
      </c>
      <c r="C52" s="469" t="s">
        <v>543</v>
      </c>
      <c r="D52" s="469">
        <v>539</v>
      </c>
      <c r="E52" s="481">
        <v>238543.04</v>
      </c>
      <c r="F52" s="208" t="s">
        <v>544</v>
      </c>
      <c r="G52" s="209" t="s">
        <v>486</v>
      </c>
      <c r="H52" s="210">
        <v>25110.84</v>
      </c>
      <c r="I52" s="234">
        <v>25110.84</v>
      </c>
      <c r="J52" s="234">
        <v>25110.84</v>
      </c>
      <c r="K52" s="234">
        <v>25110.84</v>
      </c>
      <c r="L52" s="234">
        <v>25110.84</v>
      </c>
      <c r="M52" s="234">
        <v>25110.84</v>
      </c>
      <c r="N52" s="234">
        <v>25110.84</v>
      </c>
      <c r="O52" s="234">
        <v>25110.84</v>
      </c>
      <c r="P52" s="234">
        <v>12545.47</v>
      </c>
      <c r="Q52" s="234"/>
      <c r="R52" s="234"/>
      <c r="S52" s="234"/>
      <c r="T52" s="234"/>
      <c r="U52" s="234"/>
      <c r="V52" s="234"/>
      <c r="W52" s="234"/>
      <c r="X52" s="234"/>
      <c r="Y52" s="213">
        <f t="shared" si="1"/>
        <v>163210.51</v>
      </c>
    </row>
    <row r="53" spans="1:25" s="214" customFormat="1" ht="12.75">
      <c r="A53" s="468"/>
      <c r="B53" s="215" t="s">
        <v>545</v>
      </c>
      <c r="C53" s="470"/>
      <c r="D53" s="470"/>
      <c r="E53" s="482"/>
      <c r="F53" s="216" t="s">
        <v>546</v>
      </c>
      <c r="G53" s="217">
        <v>0.00403</v>
      </c>
      <c r="H53" s="238">
        <v>1449.29</v>
      </c>
      <c r="I53" s="219">
        <v>921.64</v>
      </c>
      <c r="J53" s="365">
        <v>770</v>
      </c>
      <c r="K53" s="365">
        <v>685</v>
      </c>
      <c r="L53" s="365">
        <v>555</v>
      </c>
      <c r="M53" s="365">
        <v>425</v>
      </c>
      <c r="N53" s="365">
        <v>300</v>
      </c>
      <c r="O53" s="365">
        <v>175</v>
      </c>
      <c r="P53" s="365">
        <v>45</v>
      </c>
      <c r="Q53" s="364"/>
      <c r="R53" s="364"/>
      <c r="S53" s="364"/>
      <c r="T53" s="364"/>
      <c r="U53" s="364"/>
      <c r="V53" s="364"/>
      <c r="W53" s="364"/>
      <c r="X53" s="364"/>
      <c r="Y53" s="220">
        <f t="shared" si="1"/>
        <v>2955</v>
      </c>
    </row>
    <row r="54" spans="1:25" s="214" customFormat="1" ht="12.75" customHeight="1">
      <c r="A54" s="473">
        <v>24</v>
      </c>
      <c r="B54" s="221" t="s">
        <v>489</v>
      </c>
      <c r="C54" s="477" t="s">
        <v>547</v>
      </c>
      <c r="D54" s="477">
        <v>540</v>
      </c>
      <c r="E54" s="483">
        <v>269491.92</v>
      </c>
      <c r="F54" s="236" t="s">
        <v>544</v>
      </c>
      <c r="G54" s="223" t="s">
        <v>486</v>
      </c>
      <c r="H54" s="224">
        <v>28372.08</v>
      </c>
      <c r="I54" s="225">
        <v>28372.08</v>
      </c>
      <c r="J54" s="225">
        <v>28372.08</v>
      </c>
      <c r="K54" s="225">
        <v>28372.08</v>
      </c>
      <c r="L54" s="225">
        <v>28372.08</v>
      </c>
      <c r="M54" s="225">
        <v>28372.08</v>
      </c>
      <c r="N54" s="225">
        <v>28372.08</v>
      </c>
      <c r="O54" s="225">
        <v>28372.08</v>
      </c>
      <c r="P54" s="225">
        <v>14143.22</v>
      </c>
      <c r="Q54" s="225"/>
      <c r="R54" s="225"/>
      <c r="S54" s="225"/>
      <c r="T54" s="225"/>
      <c r="U54" s="225"/>
      <c r="V54" s="225"/>
      <c r="W54" s="225"/>
      <c r="X54" s="225"/>
      <c r="Y54" s="227">
        <f t="shared" si="1"/>
        <v>184375.70000000004</v>
      </c>
    </row>
    <row r="55" spans="1:25" s="214" customFormat="1" ht="12.75">
      <c r="A55" s="474"/>
      <c r="B55" s="228" t="s">
        <v>548</v>
      </c>
      <c r="C55" s="478"/>
      <c r="D55" s="478"/>
      <c r="E55" s="484"/>
      <c r="F55" s="229" t="s">
        <v>546</v>
      </c>
      <c r="G55" s="230">
        <v>0.00403</v>
      </c>
      <c r="H55" s="231">
        <v>1637.29</v>
      </c>
      <c r="I55" s="232">
        <v>1041.09</v>
      </c>
      <c r="J55" s="371">
        <v>870</v>
      </c>
      <c r="K55" s="371">
        <v>770</v>
      </c>
      <c r="L55" s="371">
        <v>625</v>
      </c>
      <c r="M55" s="371">
        <v>485</v>
      </c>
      <c r="N55" s="371">
        <v>340</v>
      </c>
      <c r="O55" s="371">
        <v>195</v>
      </c>
      <c r="P55" s="371">
        <v>55</v>
      </c>
      <c r="Q55" s="371"/>
      <c r="R55" s="374"/>
      <c r="S55" s="374"/>
      <c r="T55" s="374"/>
      <c r="U55" s="374"/>
      <c r="V55" s="374"/>
      <c r="W55" s="374"/>
      <c r="X55" s="374"/>
      <c r="Y55" s="233">
        <f t="shared" si="1"/>
        <v>3340</v>
      </c>
    </row>
    <row r="56" spans="1:25" s="214" customFormat="1" ht="12.75" customHeight="1">
      <c r="A56" s="467">
        <v>25</v>
      </c>
      <c r="B56" s="207" t="s">
        <v>489</v>
      </c>
      <c r="C56" s="469" t="s">
        <v>549</v>
      </c>
      <c r="D56" s="469">
        <v>542</v>
      </c>
      <c r="E56" s="481">
        <v>87193.58</v>
      </c>
      <c r="F56" s="208" t="s">
        <v>550</v>
      </c>
      <c r="G56" s="209" t="s">
        <v>486</v>
      </c>
      <c r="H56" s="210">
        <v>9180.36</v>
      </c>
      <c r="I56" s="234">
        <v>9180.36</v>
      </c>
      <c r="J56" s="234">
        <v>9180.36</v>
      </c>
      <c r="K56" s="234">
        <v>9180.36</v>
      </c>
      <c r="L56" s="234">
        <v>9180.36</v>
      </c>
      <c r="M56" s="234">
        <v>9180.36</v>
      </c>
      <c r="N56" s="234">
        <v>9180.36</v>
      </c>
      <c r="O56" s="234">
        <v>9180.36</v>
      </c>
      <c r="P56" s="234">
        <v>4570.34</v>
      </c>
      <c r="Q56" s="234"/>
      <c r="R56" s="234"/>
      <c r="S56" s="234"/>
      <c r="T56" s="234"/>
      <c r="U56" s="234"/>
      <c r="V56" s="234"/>
      <c r="W56" s="234"/>
      <c r="X56" s="234"/>
      <c r="Y56" s="213">
        <f t="shared" si="1"/>
        <v>59652.5</v>
      </c>
    </row>
    <row r="57" spans="1:25" s="214" customFormat="1" ht="12.75">
      <c r="A57" s="468"/>
      <c r="B57" s="215" t="s">
        <v>551</v>
      </c>
      <c r="C57" s="470"/>
      <c r="D57" s="470"/>
      <c r="E57" s="482"/>
      <c r="F57" s="216" t="s">
        <v>546</v>
      </c>
      <c r="G57" s="217">
        <v>0.00403</v>
      </c>
      <c r="H57" s="238">
        <v>529.73</v>
      </c>
      <c r="I57" s="219">
        <v>336.85</v>
      </c>
      <c r="J57" s="365">
        <v>285</v>
      </c>
      <c r="K57" s="365">
        <v>250</v>
      </c>
      <c r="L57" s="365">
        <v>205</v>
      </c>
      <c r="M57" s="365">
        <v>160</v>
      </c>
      <c r="N57" s="365">
        <v>110</v>
      </c>
      <c r="O57" s="365">
        <v>65</v>
      </c>
      <c r="P57" s="365">
        <v>20</v>
      </c>
      <c r="Q57" s="365"/>
      <c r="R57" s="364"/>
      <c r="S57" s="364"/>
      <c r="T57" s="364"/>
      <c r="U57" s="364"/>
      <c r="V57" s="364"/>
      <c r="W57" s="364"/>
      <c r="X57" s="364"/>
      <c r="Y57" s="220">
        <f t="shared" si="1"/>
        <v>1095</v>
      </c>
    </row>
    <row r="58" spans="1:25" s="214" customFormat="1" ht="12.75" customHeight="1">
      <c r="A58" s="473">
        <v>26</v>
      </c>
      <c r="B58" s="221" t="s">
        <v>489</v>
      </c>
      <c r="C58" s="477" t="s">
        <v>552</v>
      </c>
      <c r="D58" s="477">
        <v>541</v>
      </c>
      <c r="E58" s="483">
        <v>876419.31</v>
      </c>
      <c r="F58" s="236" t="s">
        <v>550</v>
      </c>
      <c r="G58" s="223" t="s">
        <v>486</v>
      </c>
      <c r="H58" s="224">
        <v>63636.52</v>
      </c>
      <c r="I58" s="225">
        <v>63636.52</v>
      </c>
      <c r="J58" s="225">
        <v>63636.52</v>
      </c>
      <c r="K58" s="225">
        <v>63636.52</v>
      </c>
      <c r="L58" s="225">
        <v>63636.52</v>
      </c>
      <c r="M58" s="225">
        <v>63636.52</v>
      </c>
      <c r="N58" s="225">
        <v>63636.52</v>
      </c>
      <c r="O58" s="225">
        <v>63636.52</v>
      </c>
      <c r="P58" s="225">
        <v>63636.52</v>
      </c>
      <c r="Q58" s="225">
        <v>63636.52</v>
      </c>
      <c r="R58" s="225">
        <v>63636.52</v>
      </c>
      <c r="S58" s="225">
        <v>63636.52</v>
      </c>
      <c r="T58" s="225">
        <v>63636.52</v>
      </c>
      <c r="U58" s="225">
        <v>47721.68</v>
      </c>
      <c r="V58" s="225"/>
      <c r="W58" s="225"/>
      <c r="X58" s="225"/>
      <c r="Y58" s="227">
        <f t="shared" si="1"/>
        <v>747723.4000000001</v>
      </c>
    </row>
    <row r="59" spans="1:25" s="214" customFormat="1" ht="12.75">
      <c r="A59" s="474"/>
      <c r="B59" s="228" t="s">
        <v>553</v>
      </c>
      <c r="C59" s="478"/>
      <c r="D59" s="478"/>
      <c r="E59" s="484"/>
      <c r="F59" s="229" t="s">
        <v>554</v>
      </c>
      <c r="G59" s="230">
        <v>0.00403</v>
      </c>
      <c r="H59" s="231">
        <v>5957.37</v>
      </c>
      <c r="I59" s="232">
        <v>3995.95</v>
      </c>
      <c r="J59" s="371">
        <v>3565</v>
      </c>
      <c r="K59" s="371">
        <v>3420</v>
      </c>
      <c r="L59" s="371">
        <v>3100</v>
      </c>
      <c r="M59" s="371">
        <v>2775</v>
      </c>
      <c r="N59" s="371">
        <v>2460</v>
      </c>
      <c r="O59" s="371">
        <v>2130</v>
      </c>
      <c r="P59" s="371">
        <v>1805</v>
      </c>
      <c r="Q59" s="371">
        <v>1485</v>
      </c>
      <c r="R59" s="371">
        <v>1165</v>
      </c>
      <c r="S59" s="371">
        <v>840</v>
      </c>
      <c r="T59" s="371">
        <v>515</v>
      </c>
      <c r="U59" s="371">
        <v>195</v>
      </c>
      <c r="V59" s="371"/>
      <c r="W59" s="371"/>
      <c r="X59" s="371"/>
      <c r="Y59" s="233">
        <f t="shared" si="1"/>
        <v>23455</v>
      </c>
    </row>
    <row r="60" spans="1:25" s="243" customFormat="1" ht="12.75" customHeight="1">
      <c r="A60" s="467">
        <v>27</v>
      </c>
      <c r="B60" s="207" t="s">
        <v>489</v>
      </c>
      <c r="C60" s="469" t="s">
        <v>555</v>
      </c>
      <c r="D60" s="469">
        <v>544</v>
      </c>
      <c r="E60" s="481">
        <v>215078.46</v>
      </c>
      <c r="F60" s="208" t="s">
        <v>556</v>
      </c>
      <c r="G60" s="209" t="s">
        <v>486</v>
      </c>
      <c r="H60" s="210">
        <v>20483.68</v>
      </c>
      <c r="I60" s="234">
        <v>20483.68</v>
      </c>
      <c r="J60" s="234">
        <v>20483.68</v>
      </c>
      <c r="K60" s="234">
        <v>20483.68</v>
      </c>
      <c r="L60" s="234">
        <v>20483.68</v>
      </c>
      <c r="M60" s="234">
        <v>20483.68</v>
      </c>
      <c r="N60" s="234">
        <v>20483.68</v>
      </c>
      <c r="O60" s="234">
        <v>20483.68</v>
      </c>
      <c r="P60" s="234">
        <v>20483.68</v>
      </c>
      <c r="Q60" s="234">
        <v>10241.67</v>
      </c>
      <c r="R60" s="234"/>
      <c r="S60" s="234"/>
      <c r="T60" s="234"/>
      <c r="U60" s="234"/>
      <c r="V60" s="234"/>
      <c r="W60" s="234"/>
      <c r="X60" s="234"/>
      <c r="Y60" s="213">
        <f t="shared" si="1"/>
        <v>153627.43</v>
      </c>
    </row>
    <row r="61" spans="1:25" s="214" customFormat="1" ht="12.75">
      <c r="A61" s="468"/>
      <c r="B61" s="215" t="s">
        <v>557</v>
      </c>
      <c r="C61" s="485"/>
      <c r="D61" s="470"/>
      <c r="E61" s="482"/>
      <c r="F61" s="216" t="s">
        <v>558</v>
      </c>
      <c r="G61" s="217">
        <v>0.0042</v>
      </c>
      <c r="H61" s="238">
        <v>1315.94</v>
      </c>
      <c r="I61" s="219">
        <v>862.19</v>
      </c>
      <c r="J61" s="365">
        <v>735</v>
      </c>
      <c r="K61" s="365">
        <v>660</v>
      </c>
      <c r="L61" s="365">
        <v>555</v>
      </c>
      <c r="M61" s="365">
        <v>455</v>
      </c>
      <c r="N61" s="365">
        <v>350</v>
      </c>
      <c r="O61" s="365">
        <v>345</v>
      </c>
      <c r="P61" s="365">
        <v>140</v>
      </c>
      <c r="Q61" s="365">
        <v>40</v>
      </c>
      <c r="R61" s="365"/>
      <c r="S61" s="364"/>
      <c r="T61" s="364"/>
      <c r="U61" s="364"/>
      <c r="V61" s="364"/>
      <c r="W61" s="364"/>
      <c r="X61" s="364"/>
      <c r="Y61" s="220">
        <f t="shared" si="1"/>
        <v>3280</v>
      </c>
    </row>
    <row r="62" spans="1:25" s="243" customFormat="1" ht="12.75" customHeight="1">
      <c r="A62" s="473">
        <v>28</v>
      </c>
      <c r="B62" s="221" t="s">
        <v>489</v>
      </c>
      <c r="C62" s="477" t="s">
        <v>559</v>
      </c>
      <c r="D62" s="477">
        <v>543</v>
      </c>
      <c r="E62" s="483">
        <v>64700</v>
      </c>
      <c r="F62" s="236" t="s">
        <v>556</v>
      </c>
      <c r="G62" s="223" t="s">
        <v>486</v>
      </c>
      <c r="H62" s="224">
        <v>6420</v>
      </c>
      <c r="I62" s="225">
        <v>6420</v>
      </c>
      <c r="J62" s="225">
        <v>6420</v>
      </c>
      <c r="K62" s="225">
        <v>6420</v>
      </c>
      <c r="L62" s="225">
        <v>6420</v>
      </c>
      <c r="M62" s="225">
        <v>6420</v>
      </c>
      <c r="N62" s="225">
        <v>6420</v>
      </c>
      <c r="O62" s="225">
        <v>6420</v>
      </c>
      <c r="P62" s="225">
        <v>6420</v>
      </c>
      <c r="Q62" s="225">
        <v>3200</v>
      </c>
      <c r="R62" s="225"/>
      <c r="S62" s="225"/>
      <c r="T62" s="225"/>
      <c r="U62" s="225"/>
      <c r="V62" s="225"/>
      <c r="W62" s="225"/>
      <c r="X62" s="225"/>
      <c r="Y62" s="227">
        <f t="shared" si="1"/>
        <v>48140</v>
      </c>
    </row>
    <row r="63" spans="1:25" s="214" customFormat="1" ht="12.75">
      <c r="A63" s="474"/>
      <c r="B63" s="228" t="s">
        <v>560</v>
      </c>
      <c r="C63" s="478"/>
      <c r="D63" s="478"/>
      <c r="E63" s="484"/>
      <c r="F63" s="229" t="s">
        <v>558</v>
      </c>
      <c r="G63" s="230">
        <v>0.0042</v>
      </c>
      <c r="H63" s="231">
        <v>412.38</v>
      </c>
      <c r="I63" s="232">
        <v>270.19</v>
      </c>
      <c r="J63" s="371">
        <v>235</v>
      </c>
      <c r="K63" s="371">
        <v>210</v>
      </c>
      <c r="L63" s="371">
        <v>175</v>
      </c>
      <c r="M63" s="371">
        <v>145</v>
      </c>
      <c r="N63" s="371">
        <v>110</v>
      </c>
      <c r="O63" s="371">
        <v>80</v>
      </c>
      <c r="P63" s="371">
        <v>45</v>
      </c>
      <c r="Q63" s="371">
        <v>15</v>
      </c>
      <c r="R63" s="374"/>
      <c r="S63" s="374"/>
      <c r="T63" s="374"/>
      <c r="U63" s="374"/>
      <c r="V63" s="374"/>
      <c r="W63" s="374"/>
      <c r="X63" s="374"/>
      <c r="Y63" s="233">
        <f t="shared" si="1"/>
        <v>1015</v>
      </c>
    </row>
    <row r="64" spans="1:25" s="243" customFormat="1" ht="13.5" customHeight="1">
      <c r="A64" s="467">
        <v>29</v>
      </c>
      <c r="B64" s="207" t="s">
        <v>489</v>
      </c>
      <c r="C64" s="469" t="s">
        <v>561</v>
      </c>
      <c r="D64" s="469">
        <v>545</v>
      </c>
      <c r="E64" s="481">
        <v>241620.71</v>
      </c>
      <c r="F64" s="208" t="s">
        <v>562</v>
      </c>
      <c r="G64" s="209" t="s">
        <v>486</v>
      </c>
      <c r="H64" s="210">
        <v>23016.36</v>
      </c>
      <c r="I64" s="234">
        <v>23016.36</v>
      </c>
      <c r="J64" s="234">
        <v>23016.36</v>
      </c>
      <c r="K64" s="234">
        <v>23016.36</v>
      </c>
      <c r="L64" s="234">
        <v>23016.36</v>
      </c>
      <c r="M64" s="234">
        <v>23016.36</v>
      </c>
      <c r="N64" s="234">
        <v>23016.36</v>
      </c>
      <c r="O64" s="234">
        <v>23016.36</v>
      </c>
      <c r="P64" s="234">
        <v>23016.36</v>
      </c>
      <c r="Q64" s="234">
        <v>11457.09</v>
      </c>
      <c r="R64" s="234"/>
      <c r="S64" s="234"/>
      <c r="T64" s="234"/>
      <c r="U64" s="234"/>
      <c r="V64" s="234"/>
      <c r="W64" s="234"/>
      <c r="X64" s="234"/>
      <c r="Y64" s="213">
        <f t="shared" si="1"/>
        <v>172571.61000000002</v>
      </c>
    </row>
    <row r="65" spans="1:25" s="214" customFormat="1" ht="12.75">
      <c r="A65" s="468"/>
      <c r="B65" s="215" t="s">
        <v>563</v>
      </c>
      <c r="C65" s="470"/>
      <c r="D65" s="470"/>
      <c r="E65" s="482"/>
      <c r="F65" s="216" t="s">
        <v>564</v>
      </c>
      <c r="G65" s="217">
        <v>0.0042</v>
      </c>
      <c r="H65" s="238">
        <v>1478.29</v>
      </c>
      <c r="I65" s="219">
        <v>968.53</v>
      </c>
      <c r="J65" s="365">
        <v>825</v>
      </c>
      <c r="K65" s="365">
        <v>740</v>
      </c>
      <c r="L65" s="365">
        <v>625</v>
      </c>
      <c r="M65" s="365">
        <v>510</v>
      </c>
      <c r="N65" s="365">
        <v>395</v>
      </c>
      <c r="O65" s="365">
        <v>275</v>
      </c>
      <c r="P65" s="365">
        <v>160</v>
      </c>
      <c r="Q65" s="365">
        <v>45</v>
      </c>
      <c r="R65" s="365"/>
      <c r="S65" s="364"/>
      <c r="T65" s="364"/>
      <c r="U65" s="364"/>
      <c r="V65" s="364"/>
      <c r="W65" s="364"/>
      <c r="X65" s="364"/>
      <c r="Y65" s="220">
        <f t="shared" si="1"/>
        <v>3575</v>
      </c>
    </row>
    <row r="66" spans="1:25" s="243" customFormat="1" ht="12.75" customHeight="1">
      <c r="A66" s="473">
        <v>30</v>
      </c>
      <c r="B66" s="221" t="s">
        <v>489</v>
      </c>
      <c r="C66" s="477" t="s">
        <v>565</v>
      </c>
      <c r="D66" s="477">
        <v>546</v>
      </c>
      <c r="E66" s="483">
        <v>993544.59</v>
      </c>
      <c r="F66" s="236" t="s">
        <v>566</v>
      </c>
      <c r="G66" s="223" t="s">
        <v>486</v>
      </c>
      <c r="H66" s="224">
        <v>67262</v>
      </c>
      <c r="I66" s="225">
        <v>67262</v>
      </c>
      <c r="J66" s="225">
        <v>67262</v>
      </c>
      <c r="K66" s="225">
        <v>67262</v>
      </c>
      <c r="L66" s="225">
        <v>67262</v>
      </c>
      <c r="M66" s="225">
        <v>67262</v>
      </c>
      <c r="N66" s="225">
        <v>67262</v>
      </c>
      <c r="O66" s="225">
        <v>67262</v>
      </c>
      <c r="P66" s="225">
        <v>67262</v>
      </c>
      <c r="Q66" s="225">
        <v>67262</v>
      </c>
      <c r="R66" s="225">
        <v>67262</v>
      </c>
      <c r="S66" s="225">
        <v>67262</v>
      </c>
      <c r="T66" s="225">
        <v>67262</v>
      </c>
      <c r="U66" s="225">
        <v>67262</v>
      </c>
      <c r="V66" s="225">
        <v>50453.72</v>
      </c>
      <c r="W66" s="225"/>
      <c r="X66" s="225"/>
      <c r="Y66" s="227">
        <f t="shared" si="1"/>
        <v>857597.72</v>
      </c>
    </row>
    <row r="67" spans="1:25" s="214" customFormat="1" ht="12.75">
      <c r="A67" s="474"/>
      <c r="B67" s="228" t="s">
        <v>567</v>
      </c>
      <c r="C67" s="486"/>
      <c r="D67" s="478"/>
      <c r="E67" s="484"/>
      <c r="F67" s="229" t="s">
        <v>568</v>
      </c>
      <c r="G67" s="230">
        <v>0.0042</v>
      </c>
      <c r="H67" s="231">
        <v>6721.23</v>
      </c>
      <c r="I67" s="232">
        <v>4606.41</v>
      </c>
      <c r="J67" s="371">
        <v>4130</v>
      </c>
      <c r="K67" s="371">
        <v>3955</v>
      </c>
      <c r="L67" s="371">
        <v>3615</v>
      </c>
      <c r="M67" s="371">
        <v>3275</v>
      </c>
      <c r="N67" s="371">
        <v>2940</v>
      </c>
      <c r="O67" s="371">
        <v>2595</v>
      </c>
      <c r="P67" s="371">
        <v>2250</v>
      </c>
      <c r="Q67" s="371">
        <v>1910</v>
      </c>
      <c r="R67" s="371">
        <v>1575</v>
      </c>
      <c r="S67" s="371">
        <v>1230</v>
      </c>
      <c r="T67" s="371">
        <v>885</v>
      </c>
      <c r="U67" s="371">
        <v>545</v>
      </c>
      <c r="V67" s="371">
        <v>205</v>
      </c>
      <c r="W67" s="371"/>
      <c r="X67" s="371"/>
      <c r="Y67" s="233">
        <f t="shared" si="1"/>
        <v>29110</v>
      </c>
    </row>
    <row r="68" spans="1:25" s="243" customFormat="1" ht="12.75" customHeight="1">
      <c r="A68" s="467">
        <v>31</v>
      </c>
      <c r="B68" s="207" t="s">
        <v>489</v>
      </c>
      <c r="C68" s="469" t="s">
        <v>569</v>
      </c>
      <c r="D68" s="469">
        <v>548</v>
      </c>
      <c r="E68" s="481">
        <v>337718.84</v>
      </c>
      <c r="F68" s="208" t="s">
        <v>570</v>
      </c>
      <c r="G68" s="209" t="s">
        <v>486</v>
      </c>
      <c r="H68" s="210">
        <v>31417</v>
      </c>
      <c r="I68" s="234">
        <v>31417</v>
      </c>
      <c r="J68" s="234">
        <v>31417</v>
      </c>
      <c r="K68" s="234">
        <v>31417</v>
      </c>
      <c r="L68" s="234">
        <v>31417</v>
      </c>
      <c r="M68" s="234">
        <v>31417</v>
      </c>
      <c r="N68" s="234">
        <v>31417</v>
      </c>
      <c r="O68" s="234">
        <v>31417</v>
      </c>
      <c r="P68" s="234">
        <v>31417</v>
      </c>
      <c r="Q68" s="234">
        <v>23548.83</v>
      </c>
      <c r="R68" s="234"/>
      <c r="S68" s="234"/>
      <c r="T68" s="234"/>
      <c r="U68" s="234"/>
      <c r="V68" s="234"/>
      <c r="W68" s="234"/>
      <c r="X68" s="234"/>
      <c r="Y68" s="213">
        <f t="shared" si="1"/>
        <v>243467.83000000002</v>
      </c>
    </row>
    <row r="69" spans="1:25" s="214" customFormat="1" ht="12.75">
      <c r="A69" s="468"/>
      <c r="B69" s="215" t="s">
        <v>571</v>
      </c>
      <c r="C69" s="470"/>
      <c r="D69" s="470"/>
      <c r="E69" s="482"/>
      <c r="F69" s="216" t="s">
        <v>572</v>
      </c>
      <c r="G69" s="217">
        <v>0.0042</v>
      </c>
      <c r="H69" s="238">
        <v>2072.2</v>
      </c>
      <c r="I69" s="219">
        <v>1361.81</v>
      </c>
      <c r="J69" s="365">
        <v>1165</v>
      </c>
      <c r="K69" s="365">
        <v>1055</v>
      </c>
      <c r="L69" s="365">
        <v>895</v>
      </c>
      <c r="M69" s="365">
        <v>735</v>
      </c>
      <c r="N69" s="365">
        <v>575</v>
      </c>
      <c r="O69" s="365">
        <v>415</v>
      </c>
      <c r="P69" s="365">
        <v>255</v>
      </c>
      <c r="Q69" s="365">
        <v>95</v>
      </c>
      <c r="R69" s="364"/>
      <c r="S69" s="364"/>
      <c r="T69" s="364"/>
      <c r="U69" s="364"/>
      <c r="V69" s="364"/>
      <c r="W69" s="364"/>
      <c r="X69" s="364"/>
      <c r="Y69" s="220">
        <f t="shared" si="1"/>
        <v>5190</v>
      </c>
    </row>
    <row r="70" spans="1:25" s="243" customFormat="1" ht="12.75" customHeight="1">
      <c r="A70" s="473">
        <v>32</v>
      </c>
      <c r="B70" s="221" t="s">
        <v>489</v>
      </c>
      <c r="C70" s="477" t="s">
        <v>573</v>
      </c>
      <c r="D70" s="477">
        <v>547</v>
      </c>
      <c r="E70" s="483">
        <v>452006.32</v>
      </c>
      <c r="F70" s="236" t="s">
        <v>570</v>
      </c>
      <c r="G70" s="223" t="s">
        <v>486</v>
      </c>
      <c r="H70" s="224">
        <v>42048.72</v>
      </c>
      <c r="I70" s="225">
        <v>42048.72</v>
      </c>
      <c r="J70" s="225">
        <v>42048.72</v>
      </c>
      <c r="K70" s="225">
        <v>42048.72</v>
      </c>
      <c r="L70" s="225">
        <v>42048.72</v>
      </c>
      <c r="M70" s="225">
        <v>42048.72</v>
      </c>
      <c r="N70" s="225">
        <v>42048.72</v>
      </c>
      <c r="O70" s="225">
        <v>42048.72</v>
      </c>
      <c r="P70" s="225">
        <v>42048.72</v>
      </c>
      <c r="Q70" s="225">
        <v>31519.13</v>
      </c>
      <c r="R70" s="225"/>
      <c r="S70" s="225"/>
      <c r="T70" s="225"/>
      <c r="U70" s="225"/>
      <c r="V70" s="225"/>
      <c r="W70" s="225"/>
      <c r="X70" s="225"/>
      <c r="Y70" s="227">
        <f t="shared" si="1"/>
        <v>325860.17000000004</v>
      </c>
    </row>
    <row r="71" spans="1:25" s="214" customFormat="1" ht="12.75">
      <c r="A71" s="474"/>
      <c r="B71" s="228" t="s">
        <v>574</v>
      </c>
      <c r="C71" s="478"/>
      <c r="D71" s="478"/>
      <c r="E71" s="484"/>
      <c r="F71" s="229" t="s">
        <v>558</v>
      </c>
      <c r="G71" s="230">
        <v>0.0042</v>
      </c>
      <c r="H71" s="231">
        <v>2773.45</v>
      </c>
      <c r="I71" s="232">
        <v>1822.66</v>
      </c>
      <c r="J71" s="371">
        <v>1560</v>
      </c>
      <c r="K71" s="371">
        <v>1410</v>
      </c>
      <c r="L71" s="371">
        <v>1195</v>
      </c>
      <c r="M71" s="371">
        <v>980</v>
      </c>
      <c r="N71" s="371">
        <v>770</v>
      </c>
      <c r="O71" s="371">
        <v>555</v>
      </c>
      <c r="P71" s="371">
        <v>340</v>
      </c>
      <c r="Q71" s="371">
        <v>130</v>
      </c>
      <c r="R71" s="371"/>
      <c r="S71" s="374"/>
      <c r="T71" s="374"/>
      <c r="U71" s="374"/>
      <c r="V71" s="374"/>
      <c r="W71" s="374"/>
      <c r="X71" s="374"/>
      <c r="Y71" s="233">
        <f t="shared" si="1"/>
        <v>6940</v>
      </c>
    </row>
    <row r="72" spans="1:25" s="243" customFormat="1" ht="12.75" customHeight="1">
      <c r="A72" s="467">
        <v>33</v>
      </c>
      <c r="B72" s="207" t="s">
        <v>489</v>
      </c>
      <c r="C72" s="469" t="s">
        <v>575</v>
      </c>
      <c r="D72" s="469">
        <v>549</v>
      </c>
      <c r="E72" s="481">
        <v>403086.24</v>
      </c>
      <c r="F72" s="208" t="s">
        <v>576</v>
      </c>
      <c r="G72" s="209" t="s">
        <v>486</v>
      </c>
      <c r="H72" s="210">
        <v>38394.76</v>
      </c>
      <c r="I72" s="234">
        <v>38394.76</v>
      </c>
      <c r="J72" s="234">
        <v>38394.76</v>
      </c>
      <c r="K72" s="234">
        <v>38394.76</v>
      </c>
      <c r="L72" s="234">
        <v>38394.76</v>
      </c>
      <c r="M72" s="234">
        <v>38394.76</v>
      </c>
      <c r="N72" s="234">
        <v>38394.76</v>
      </c>
      <c r="O72" s="234">
        <v>38394.76</v>
      </c>
      <c r="P72" s="234">
        <v>38394.76</v>
      </c>
      <c r="Q72" s="234">
        <v>19138.62</v>
      </c>
      <c r="R72" s="234"/>
      <c r="S72" s="234"/>
      <c r="T72" s="234"/>
      <c r="U72" s="234"/>
      <c r="V72" s="234"/>
      <c r="W72" s="234"/>
      <c r="X72" s="234"/>
      <c r="Y72" s="213">
        <f t="shared" si="1"/>
        <v>287901.94</v>
      </c>
    </row>
    <row r="73" spans="1:25" s="214" customFormat="1" ht="12.75">
      <c r="A73" s="468"/>
      <c r="B73" s="215" t="s">
        <v>577</v>
      </c>
      <c r="C73" s="470"/>
      <c r="D73" s="470"/>
      <c r="E73" s="482"/>
      <c r="F73" s="216" t="s">
        <v>558</v>
      </c>
      <c r="G73" s="217">
        <v>0.0042</v>
      </c>
      <c r="H73" s="238">
        <v>2466.2</v>
      </c>
      <c r="I73" s="219">
        <v>1615.82</v>
      </c>
      <c r="J73" s="365">
        <v>1375</v>
      </c>
      <c r="K73" s="365">
        <v>1235</v>
      </c>
      <c r="L73" s="365">
        <v>1045</v>
      </c>
      <c r="M73" s="365">
        <v>850</v>
      </c>
      <c r="N73" s="365">
        <v>655</v>
      </c>
      <c r="O73" s="365">
        <v>460</v>
      </c>
      <c r="P73" s="365">
        <v>265</v>
      </c>
      <c r="Q73" s="365">
        <v>70</v>
      </c>
      <c r="R73" s="364"/>
      <c r="S73" s="364"/>
      <c r="T73" s="364"/>
      <c r="U73" s="364"/>
      <c r="V73" s="364"/>
      <c r="W73" s="364"/>
      <c r="X73" s="364"/>
      <c r="Y73" s="220">
        <f t="shared" si="1"/>
        <v>5955</v>
      </c>
    </row>
    <row r="74" spans="1:25" s="243" customFormat="1" ht="12.75" customHeight="1">
      <c r="A74" s="467">
        <v>34</v>
      </c>
      <c r="B74" s="207" t="s">
        <v>489</v>
      </c>
      <c r="C74" s="469" t="s">
        <v>578</v>
      </c>
      <c r="D74" s="469">
        <v>557</v>
      </c>
      <c r="E74" s="481">
        <v>359487.14</v>
      </c>
      <c r="F74" s="208" t="s">
        <v>579</v>
      </c>
      <c r="G74" s="209" t="s">
        <v>486</v>
      </c>
      <c r="H74" s="210">
        <v>34240</v>
      </c>
      <c r="I74" s="234">
        <v>34240</v>
      </c>
      <c r="J74" s="234">
        <v>34240</v>
      </c>
      <c r="K74" s="234">
        <v>34240</v>
      </c>
      <c r="L74" s="234">
        <v>34240</v>
      </c>
      <c r="M74" s="234">
        <v>34240</v>
      </c>
      <c r="N74" s="234">
        <v>34240</v>
      </c>
      <c r="O74" s="234">
        <v>34240</v>
      </c>
      <c r="P74" s="234">
        <v>34240</v>
      </c>
      <c r="Q74" s="234">
        <v>17087.15</v>
      </c>
      <c r="R74" s="234"/>
      <c r="S74" s="234"/>
      <c r="T74" s="234"/>
      <c r="U74" s="234"/>
      <c r="V74" s="234"/>
      <c r="W74" s="234"/>
      <c r="X74" s="234"/>
      <c r="Y74" s="213">
        <f aca="true" t="shared" si="2" ref="Y74:Y127">SUM(J74:X74)</f>
        <v>256767.15</v>
      </c>
    </row>
    <row r="75" spans="1:25" s="214" customFormat="1" ht="12.75">
      <c r="A75" s="468"/>
      <c r="B75" s="215" t="s">
        <v>580</v>
      </c>
      <c r="C75" s="470"/>
      <c r="D75" s="470"/>
      <c r="E75" s="482"/>
      <c r="F75" s="216" t="s">
        <v>558</v>
      </c>
      <c r="G75" s="217">
        <v>0.0042</v>
      </c>
      <c r="H75" s="238">
        <v>2199.47</v>
      </c>
      <c r="I75" s="219">
        <v>1441.07</v>
      </c>
      <c r="J75" s="365">
        <v>1225</v>
      </c>
      <c r="K75" s="365">
        <v>1105</v>
      </c>
      <c r="L75" s="365">
        <v>930</v>
      </c>
      <c r="M75" s="365">
        <v>755</v>
      </c>
      <c r="N75" s="365">
        <v>585</v>
      </c>
      <c r="O75" s="365">
        <v>410</v>
      </c>
      <c r="P75" s="365">
        <v>235</v>
      </c>
      <c r="Q75" s="365">
        <v>65</v>
      </c>
      <c r="R75" s="364"/>
      <c r="S75" s="364"/>
      <c r="T75" s="364"/>
      <c r="U75" s="364"/>
      <c r="V75" s="364"/>
      <c r="W75" s="364"/>
      <c r="X75" s="364"/>
      <c r="Y75" s="220">
        <f t="shared" si="2"/>
        <v>5310</v>
      </c>
    </row>
    <row r="76" spans="1:25" s="214" customFormat="1" ht="12.75" customHeight="1">
      <c r="A76" s="467">
        <v>35</v>
      </c>
      <c r="B76" s="207" t="s">
        <v>489</v>
      </c>
      <c r="C76" s="469" t="s">
        <v>561</v>
      </c>
      <c r="D76" s="469">
        <v>551</v>
      </c>
      <c r="E76" s="481">
        <v>250209.16</v>
      </c>
      <c r="F76" s="208" t="s">
        <v>581</v>
      </c>
      <c r="G76" s="209" t="s">
        <v>486</v>
      </c>
      <c r="H76" s="210">
        <v>22242.32</v>
      </c>
      <c r="I76" s="234">
        <v>22242.32</v>
      </c>
      <c r="J76" s="234">
        <v>22242.32</v>
      </c>
      <c r="K76" s="234">
        <v>22242.32</v>
      </c>
      <c r="L76" s="234">
        <v>22242.32</v>
      </c>
      <c r="M76" s="234">
        <v>22242.32</v>
      </c>
      <c r="N76" s="234">
        <v>22242.32</v>
      </c>
      <c r="O76" s="234">
        <v>22242.32</v>
      </c>
      <c r="P76" s="234">
        <v>22242.32</v>
      </c>
      <c r="Q76" s="234">
        <v>22242.32</v>
      </c>
      <c r="R76" s="234">
        <v>5543.63</v>
      </c>
      <c r="S76" s="234"/>
      <c r="T76" s="234"/>
      <c r="U76" s="234"/>
      <c r="V76" s="234"/>
      <c r="W76" s="234"/>
      <c r="X76" s="234"/>
      <c r="Y76" s="213">
        <f t="shared" si="2"/>
        <v>183482.19000000003</v>
      </c>
    </row>
    <row r="77" spans="1:25" s="214" customFormat="1" ht="12.75">
      <c r="A77" s="468"/>
      <c r="B77" s="215" t="s">
        <v>582</v>
      </c>
      <c r="C77" s="470"/>
      <c r="D77" s="470"/>
      <c r="E77" s="482"/>
      <c r="F77" s="216" t="s">
        <v>583</v>
      </c>
      <c r="G77" s="217">
        <v>0.00322</v>
      </c>
      <c r="H77" s="238">
        <v>1469.33</v>
      </c>
      <c r="I77" s="219">
        <v>970.67</v>
      </c>
      <c r="J77" s="365">
        <v>830</v>
      </c>
      <c r="K77" s="365">
        <v>800</v>
      </c>
      <c r="L77" s="365">
        <v>690</v>
      </c>
      <c r="M77" s="365">
        <v>575</v>
      </c>
      <c r="N77" s="365">
        <v>465</v>
      </c>
      <c r="O77" s="365">
        <v>350</v>
      </c>
      <c r="P77" s="365">
        <v>240</v>
      </c>
      <c r="Q77" s="365">
        <v>125</v>
      </c>
      <c r="R77" s="365">
        <v>20</v>
      </c>
      <c r="S77" s="364"/>
      <c r="T77" s="364"/>
      <c r="U77" s="364"/>
      <c r="V77" s="364"/>
      <c r="W77" s="364"/>
      <c r="X77" s="364"/>
      <c r="Y77" s="220">
        <f t="shared" si="2"/>
        <v>4095</v>
      </c>
    </row>
    <row r="78" spans="1:25" s="214" customFormat="1" ht="12.75" customHeight="1">
      <c r="A78" s="473">
        <v>36</v>
      </c>
      <c r="B78" s="221" t="s">
        <v>489</v>
      </c>
      <c r="C78" s="477" t="s">
        <v>555</v>
      </c>
      <c r="D78" s="477">
        <v>550</v>
      </c>
      <c r="E78" s="483">
        <v>76266.03</v>
      </c>
      <c r="F78" s="236" t="s">
        <v>581</v>
      </c>
      <c r="G78" s="223" t="s">
        <v>486</v>
      </c>
      <c r="H78" s="224">
        <v>6784.24</v>
      </c>
      <c r="I78" s="225">
        <v>6784.24</v>
      </c>
      <c r="J78" s="225">
        <v>6784.24</v>
      </c>
      <c r="K78" s="225">
        <v>6784.24</v>
      </c>
      <c r="L78" s="225">
        <v>6784.24</v>
      </c>
      <c r="M78" s="225">
        <v>6784.24</v>
      </c>
      <c r="N78" s="225">
        <v>6784.24</v>
      </c>
      <c r="O78" s="225">
        <v>6784.24</v>
      </c>
      <c r="P78" s="225">
        <v>6784.24</v>
      </c>
      <c r="Q78" s="225">
        <v>6784.24</v>
      </c>
      <c r="R78" s="225">
        <v>1639.38</v>
      </c>
      <c r="S78" s="225"/>
      <c r="T78" s="225"/>
      <c r="U78" s="225"/>
      <c r="V78" s="225"/>
      <c r="W78" s="225"/>
      <c r="X78" s="225"/>
      <c r="Y78" s="227">
        <f t="shared" si="2"/>
        <v>55913.29999999999</v>
      </c>
    </row>
    <row r="79" spans="1:25" s="214" customFormat="1" ht="12.75">
      <c r="A79" s="474"/>
      <c r="B79" s="228" t="s">
        <v>584</v>
      </c>
      <c r="C79" s="478"/>
      <c r="D79" s="478"/>
      <c r="E79" s="484"/>
      <c r="F79" s="229" t="s">
        <v>583</v>
      </c>
      <c r="G79" s="230">
        <v>0.00322</v>
      </c>
      <c r="H79" s="231">
        <v>447.82</v>
      </c>
      <c r="I79" s="232">
        <v>295.98</v>
      </c>
      <c r="J79" s="371">
        <v>255</v>
      </c>
      <c r="K79" s="371">
        <v>245</v>
      </c>
      <c r="L79" s="371">
        <v>210</v>
      </c>
      <c r="M79" s="371">
        <v>175</v>
      </c>
      <c r="N79" s="371">
        <v>145</v>
      </c>
      <c r="O79" s="371">
        <v>110</v>
      </c>
      <c r="P79" s="371">
        <v>75</v>
      </c>
      <c r="Q79" s="371">
        <v>40</v>
      </c>
      <c r="R79" s="371">
        <v>10</v>
      </c>
      <c r="S79" s="374"/>
      <c r="T79" s="374"/>
      <c r="U79" s="374"/>
      <c r="V79" s="374"/>
      <c r="W79" s="374"/>
      <c r="X79" s="374"/>
      <c r="Y79" s="233">
        <f t="shared" si="2"/>
        <v>1265</v>
      </c>
    </row>
    <row r="80" spans="1:25" s="214" customFormat="1" ht="12.75" customHeight="1">
      <c r="A80" s="467">
        <v>37</v>
      </c>
      <c r="B80" s="207" t="s">
        <v>489</v>
      </c>
      <c r="C80" s="469" t="s">
        <v>585</v>
      </c>
      <c r="D80" s="469">
        <v>552</v>
      </c>
      <c r="E80" s="481">
        <v>158629.16</v>
      </c>
      <c r="F80" s="208" t="s">
        <v>586</v>
      </c>
      <c r="G80" s="209" t="s">
        <v>486</v>
      </c>
      <c r="H80" s="210">
        <v>14103.52</v>
      </c>
      <c r="I80" s="234">
        <v>14103.52</v>
      </c>
      <c r="J80" s="234">
        <v>14103.52</v>
      </c>
      <c r="K80" s="234">
        <v>14103.52</v>
      </c>
      <c r="L80" s="234">
        <v>14103.52</v>
      </c>
      <c r="M80" s="234">
        <v>14103.52</v>
      </c>
      <c r="N80" s="234">
        <v>14103.52</v>
      </c>
      <c r="O80" s="234">
        <v>14103.52</v>
      </c>
      <c r="P80" s="234">
        <v>14103.52</v>
      </c>
      <c r="Q80" s="234">
        <v>14103.52</v>
      </c>
      <c r="R80" s="234">
        <v>3490.46</v>
      </c>
      <c r="S80" s="234"/>
      <c r="T80" s="234"/>
      <c r="U80" s="234"/>
      <c r="V80" s="234"/>
      <c r="W80" s="234"/>
      <c r="X80" s="234"/>
      <c r="Y80" s="213">
        <f t="shared" si="2"/>
        <v>116318.62000000002</v>
      </c>
    </row>
    <row r="81" spans="1:25" s="214" customFormat="1" ht="12.75">
      <c r="A81" s="468"/>
      <c r="B81" s="215" t="s">
        <v>587</v>
      </c>
      <c r="C81" s="470"/>
      <c r="D81" s="470"/>
      <c r="E81" s="482"/>
      <c r="F81" s="216" t="s">
        <v>583</v>
      </c>
      <c r="G81" s="217">
        <v>0.00353</v>
      </c>
      <c r="H81" s="238">
        <v>751.78</v>
      </c>
      <c r="I81" s="219">
        <v>508.58</v>
      </c>
      <c r="J81" s="365">
        <v>455</v>
      </c>
      <c r="K81" s="365">
        <v>510</v>
      </c>
      <c r="L81" s="365">
        <v>440</v>
      </c>
      <c r="M81" s="365">
        <v>365</v>
      </c>
      <c r="N81" s="365">
        <v>295</v>
      </c>
      <c r="O81" s="365">
        <v>225</v>
      </c>
      <c r="P81" s="365">
        <v>150</v>
      </c>
      <c r="Q81" s="365">
        <v>80</v>
      </c>
      <c r="R81" s="365">
        <v>15</v>
      </c>
      <c r="S81" s="364"/>
      <c r="T81" s="364"/>
      <c r="U81" s="364"/>
      <c r="V81" s="364"/>
      <c r="W81" s="364"/>
      <c r="X81" s="364"/>
      <c r="Y81" s="220">
        <f t="shared" si="2"/>
        <v>2535</v>
      </c>
    </row>
    <row r="82" spans="1:25" s="214" customFormat="1" ht="12.75" customHeight="1">
      <c r="A82" s="473">
        <v>38</v>
      </c>
      <c r="B82" s="221" t="s">
        <v>489</v>
      </c>
      <c r="C82" s="477" t="s">
        <v>588</v>
      </c>
      <c r="D82" s="477">
        <v>553</v>
      </c>
      <c r="E82" s="483">
        <v>107926.42</v>
      </c>
      <c r="F82" s="236" t="s">
        <v>589</v>
      </c>
      <c r="G82" s="223" t="s">
        <v>486</v>
      </c>
      <c r="H82" s="224">
        <v>9595.84</v>
      </c>
      <c r="I82" s="225">
        <v>9595.84</v>
      </c>
      <c r="J82" s="225">
        <v>9595.84</v>
      </c>
      <c r="K82" s="225">
        <v>9595.84</v>
      </c>
      <c r="L82" s="225">
        <v>9595.84</v>
      </c>
      <c r="M82" s="225">
        <v>9595.84</v>
      </c>
      <c r="N82" s="225">
        <v>9595.84</v>
      </c>
      <c r="O82" s="225">
        <v>9595.84</v>
      </c>
      <c r="P82" s="225">
        <v>9595.84</v>
      </c>
      <c r="Q82" s="225">
        <v>9595.84</v>
      </c>
      <c r="R82" s="225">
        <v>2372.17</v>
      </c>
      <c r="S82" s="225"/>
      <c r="T82" s="225"/>
      <c r="U82" s="225"/>
      <c r="V82" s="225"/>
      <c r="W82" s="225"/>
      <c r="X82" s="225"/>
      <c r="Y82" s="227">
        <f t="shared" si="2"/>
        <v>79138.88999999998</v>
      </c>
    </row>
    <row r="83" spans="1:25" s="214" customFormat="1" ht="12.75">
      <c r="A83" s="474"/>
      <c r="B83" s="228" t="s">
        <v>590</v>
      </c>
      <c r="C83" s="478"/>
      <c r="D83" s="478"/>
      <c r="E83" s="484"/>
      <c r="F83" s="229" t="s">
        <v>583</v>
      </c>
      <c r="G83" s="230">
        <v>0.00353</v>
      </c>
      <c r="H83" s="231">
        <v>511.49</v>
      </c>
      <c r="I83" s="232">
        <v>346.04</v>
      </c>
      <c r="J83" s="371">
        <v>310</v>
      </c>
      <c r="K83" s="371">
        <v>345</v>
      </c>
      <c r="L83" s="371">
        <v>300</v>
      </c>
      <c r="M83" s="371">
        <v>250</v>
      </c>
      <c r="N83" s="371">
        <v>200</v>
      </c>
      <c r="O83" s="371">
        <v>150</v>
      </c>
      <c r="P83" s="371">
        <v>105</v>
      </c>
      <c r="Q83" s="371">
        <v>55</v>
      </c>
      <c r="R83" s="371">
        <v>10</v>
      </c>
      <c r="S83" s="374"/>
      <c r="T83" s="374"/>
      <c r="U83" s="374"/>
      <c r="V83" s="374"/>
      <c r="W83" s="374"/>
      <c r="X83" s="374"/>
      <c r="Y83" s="233">
        <f t="shared" si="2"/>
        <v>1725</v>
      </c>
    </row>
    <row r="84" spans="1:25" s="214" customFormat="1" ht="12.75" customHeight="1">
      <c r="A84" s="467">
        <v>39</v>
      </c>
      <c r="B84" s="207" t="s">
        <v>489</v>
      </c>
      <c r="C84" s="469" t="s">
        <v>591</v>
      </c>
      <c r="D84" s="469">
        <v>558</v>
      </c>
      <c r="E84" s="481">
        <v>296887.89</v>
      </c>
      <c r="F84" s="241" t="s">
        <v>592</v>
      </c>
      <c r="G84" s="209" t="s">
        <v>486</v>
      </c>
      <c r="H84" s="210">
        <v>26391.44</v>
      </c>
      <c r="I84" s="234">
        <v>26391.44</v>
      </c>
      <c r="J84" s="234">
        <v>26391.44</v>
      </c>
      <c r="K84" s="234">
        <v>26391.44</v>
      </c>
      <c r="L84" s="234">
        <v>26391.44</v>
      </c>
      <c r="M84" s="234">
        <v>26391.44</v>
      </c>
      <c r="N84" s="234">
        <v>26391.44</v>
      </c>
      <c r="O84" s="234">
        <v>26391.44</v>
      </c>
      <c r="P84" s="234">
        <v>26391.44</v>
      </c>
      <c r="Q84" s="234">
        <v>26391.44</v>
      </c>
      <c r="R84" s="234">
        <v>6582.07</v>
      </c>
      <c r="S84" s="234"/>
      <c r="T84" s="234"/>
      <c r="U84" s="234"/>
      <c r="V84" s="234"/>
      <c r="W84" s="234"/>
      <c r="X84" s="234"/>
      <c r="Y84" s="213">
        <f t="shared" si="2"/>
        <v>217713.59</v>
      </c>
    </row>
    <row r="85" spans="1:25" s="214" customFormat="1" ht="12.75">
      <c r="A85" s="468"/>
      <c r="B85" s="215" t="s">
        <v>593</v>
      </c>
      <c r="C85" s="470"/>
      <c r="D85" s="470"/>
      <c r="E85" s="482"/>
      <c r="F85" s="244">
        <v>45371</v>
      </c>
      <c r="G85" s="217">
        <v>0.00353</v>
      </c>
      <c r="H85" s="238">
        <v>1407.07</v>
      </c>
      <c r="I85" s="219">
        <v>951.86</v>
      </c>
      <c r="J85" s="365">
        <v>845</v>
      </c>
      <c r="K85" s="365">
        <v>950</v>
      </c>
      <c r="L85" s="365">
        <v>820</v>
      </c>
      <c r="M85" s="365">
        <v>685</v>
      </c>
      <c r="N85" s="365">
        <v>550</v>
      </c>
      <c r="O85" s="365">
        <v>415</v>
      </c>
      <c r="P85" s="365">
        <v>280</v>
      </c>
      <c r="Q85" s="365">
        <v>150</v>
      </c>
      <c r="R85" s="365">
        <v>25</v>
      </c>
      <c r="S85" s="364"/>
      <c r="T85" s="364"/>
      <c r="U85" s="364"/>
      <c r="V85" s="364"/>
      <c r="W85" s="364"/>
      <c r="X85" s="364"/>
      <c r="Y85" s="220">
        <f t="shared" si="2"/>
        <v>4720</v>
      </c>
    </row>
    <row r="86" spans="1:25" s="214" customFormat="1" ht="12.75" customHeight="1">
      <c r="A86" s="473">
        <v>40</v>
      </c>
      <c r="B86" s="221" t="s">
        <v>489</v>
      </c>
      <c r="C86" s="477" t="s">
        <v>575</v>
      </c>
      <c r="D86" s="477">
        <v>554</v>
      </c>
      <c r="E86" s="483">
        <v>369101.98</v>
      </c>
      <c r="F86" s="222" t="s">
        <v>594</v>
      </c>
      <c r="G86" s="223" t="s">
        <v>486</v>
      </c>
      <c r="H86" s="224">
        <v>32811.44</v>
      </c>
      <c r="I86" s="225">
        <v>32811.44</v>
      </c>
      <c r="J86" s="225">
        <v>32811.44</v>
      </c>
      <c r="K86" s="225">
        <v>32811.44</v>
      </c>
      <c r="L86" s="225">
        <v>32811.44</v>
      </c>
      <c r="M86" s="225">
        <v>32811.44</v>
      </c>
      <c r="N86" s="225">
        <v>32811.44</v>
      </c>
      <c r="O86" s="225">
        <v>32811.44</v>
      </c>
      <c r="P86" s="225">
        <v>32811.44</v>
      </c>
      <c r="Q86" s="225">
        <v>32811.44</v>
      </c>
      <c r="R86" s="225">
        <v>8176.16</v>
      </c>
      <c r="S86" s="225"/>
      <c r="T86" s="225"/>
      <c r="U86" s="225"/>
      <c r="V86" s="225"/>
      <c r="W86" s="225"/>
      <c r="X86" s="225"/>
      <c r="Y86" s="227">
        <f t="shared" si="2"/>
        <v>270667.68</v>
      </c>
    </row>
    <row r="87" spans="1:25" s="214" customFormat="1" ht="12.75">
      <c r="A87" s="474"/>
      <c r="B87" s="228" t="s">
        <v>595</v>
      </c>
      <c r="C87" s="478"/>
      <c r="D87" s="478"/>
      <c r="E87" s="484"/>
      <c r="F87" s="239">
        <v>45371</v>
      </c>
      <c r="G87" s="230">
        <v>0.00353</v>
      </c>
      <c r="H87" s="231">
        <v>1749.32</v>
      </c>
      <c r="I87" s="232">
        <v>1183.41</v>
      </c>
      <c r="J87" s="371">
        <v>1050</v>
      </c>
      <c r="K87" s="371">
        <v>1185</v>
      </c>
      <c r="L87" s="371">
        <v>1015</v>
      </c>
      <c r="M87" s="371">
        <v>850</v>
      </c>
      <c r="N87" s="371">
        <v>685</v>
      </c>
      <c r="O87" s="371">
        <v>515</v>
      </c>
      <c r="P87" s="371">
        <v>350</v>
      </c>
      <c r="Q87" s="371">
        <v>185</v>
      </c>
      <c r="R87" s="371">
        <v>30</v>
      </c>
      <c r="S87" s="374"/>
      <c r="T87" s="374"/>
      <c r="U87" s="374"/>
      <c r="V87" s="374"/>
      <c r="W87" s="374"/>
      <c r="X87" s="374"/>
      <c r="Y87" s="233">
        <f t="shared" si="2"/>
        <v>5865</v>
      </c>
    </row>
    <row r="88" spans="1:25" s="214" customFormat="1" ht="12.75" customHeight="1">
      <c r="A88" s="467">
        <v>41</v>
      </c>
      <c r="B88" s="207" t="s">
        <v>489</v>
      </c>
      <c r="C88" s="469" t="s">
        <v>596</v>
      </c>
      <c r="D88" s="469">
        <v>555</v>
      </c>
      <c r="E88" s="481">
        <v>560799.54</v>
      </c>
      <c r="F88" s="241" t="s">
        <v>594</v>
      </c>
      <c r="G88" s="209" t="s">
        <v>486</v>
      </c>
      <c r="H88" s="210">
        <v>49851.72</v>
      </c>
      <c r="I88" s="234">
        <v>49851.72</v>
      </c>
      <c r="J88" s="234">
        <v>49851.72</v>
      </c>
      <c r="K88" s="234">
        <v>49851.72</v>
      </c>
      <c r="L88" s="234">
        <v>49851.72</v>
      </c>
      <c r="M88" s="234">
        <v>49851.72</v>
      </c>
      <c r="N88" s="234">
        <v>49851.72</v>
      </c>
      <c r="O88" s="234">
        <v>49851.72</v>
      </c>
      <c r="P88" s="234">
        <v>49851.72</v>
      </c>
      <c r="Q88" s="234">
        <v>49851.72</v>
      </c>
      <c r="R88" s="234">
        <v>12430.6</v>
      </c>
      <c r="S88" s="234"/>
      <c r="T88" s="234"/>
      <c r="U88" s="234"/>
      <c r="V88" s="234"/>
      <c r="W88" s="234"/>
      <c r="X88" s="234"/>
      <c r="Y88" s="213">
        <f t="shared" si="2"/>
        <v>411244.36</v>
      </c>
    </row>
    <row r="89" spans="1:25" s="214" customFormat="1" ht="12.75">
      <c r="A89" s="468"/>
      <c r="B89" s="215" t="s">
        <v>597</v>
      </c>
      <c r="C89" s="470"/>
      <c r="D89" s="470"/>
      <c r="E89" s="482"/>
      <c r="F89" s="244">
        <v>45371</v>
      </c>
      <c r="G89" s="217">
        <v>0.00353</v>
      </c>
      <c r="H89" s="238">
        <v>2657.84</v>
      </c>
      <c r="I89" s="219">
        <v>1798.03</v>
      </c>
      <c r="J89" s="365">
        <v>1595</v>
      </c>
      <c r="K89" s="365">
        <v>1795</v>
      </c>
      <c r="L89" s="365">
        <v>1540</v>
      </c>
      <c r="M89" s="365">
        <v>1290</v>
      </c>
      <c r="N89" s="365">
        <v>1040</v>
      </c>
      <c r="O89" s="365">
        <v>785</v>
      </c>
      <c r="P89" s="365">
        <v>530</v>
      </c>
      <c r="Q89" s="365">
        <v>280</v>
      </c>
      <c r="R89" s="365">
        <v>45</v>
      </c>
      <c r="S89" s="364"/>
      <c r="T89" s="364"/>
      <c r="U89" s="364"/>
      <c r="V89" s="364"/>
      <c r="W89" s="364"/>
      <c r="X89" s="364"/>
      <c r="Y89" s="220">
        <f t="shared" si="2"/>
        <v>8900</v>
      </c>
    </row>
    <row r="90" spans="1:25" s="214" customFormat="1" ht="12.75" customHeight="1">
      <c r="A90" s="473">
        <v>42</v>
      </c>
      <c r="B90" s="221" t="s">
        <v>489</v>
      </c>
      <c r="C90" s="477" t="s">
        <v>598</v>
      </c>
      <c r="D90" s="477">
        <v>568</v>
      </c>
      <c r="E90" s="483">
        <v>33093.08</v>
      </c>
      <c r="F90" s="236" t="s">
        <v>599</v>
      </c>
      <c r="G90" s="223" t="s">
        <v>486</v>
      </c>
      <c r="H90" s="224">
        <v>3153.08</v>
      </c>
      <c r="I90" s="225">
        <v>3153.08</v>
      </c>
      <c r="J90" s="225">
        <v>3153.08</v>
      </c>
      <c r="K90" s="225">
        <v>3153.08</v>
      </c>
      <c r="L90" s="225">
        <v>3153.08</v>
      </c>
      <c r="M90" s="225">
        <v>3153.08</v>
      </c>
      <c r="N90" s="225">
        <v>3153.08</v>
      </c>
      <c r="O90" s="225">
        <v>3153.08</v>
      </c>
      <c r="P90" s="225">
        <v>3153.08</v>
      </c>
      <c r="Q90" s="225">
        <v>3153.08</v>
      </c>
      <c r="R90" s="225">
        <v>1562.28</v>
      </c>
      <c r="S90" s="225"/>
      <c r="T90" s="225"/>
      <c r="U90" s="225"/>
      <c r="V90" s="225"/>
      <c r="W90" s="225"/>
      <c r="X90" s="225"/>
      <c r="Y90" s="227">
        <f t="shared" si="2"/>
        <v>26786.92</v>
      </c>
    </row>
    <row r="91" spans="1:25" s="214" customFormat="1" ht="12.75">
      <c r="A91" s="474"/>
      <c r="B91" s="228" t="s">
        <v>600</v>
      </c>
      <c r="C91" s="478"/>
      <c r="D91" s="478"/>
      <c r="E91" s="484"/>
      <c r="F91" s="229" t="s">
        <v>601</v>
      </c>
      <c r="G91" s="230">
        <v>0.0038</v>
      </c>
      <c r="H91" s="231">
        <v>204.86</v>
      </c>
      <c r="I91" s="232">
        <v>137.23</v>
      </c>
      <c r="J91" s="371">
        <v>105</v>
      </c>
      <c r="K91" s="371">
        <v>120</v>
      </c>
      <c r="L91" s="371">
        <v>105</v>
      </c>
      <c r="M91" s="371">
        <v>85</v>
      </c>
      <c r="N91" s="371">
        <v>70</v>
      </c>
      <c r="O91" s="371">
        <v>55</v>
      </c>
      <c r="P91" s="371">
        <v>40</v>
      </c>
      <c r="Q91" s="371">
        <v>25</v>
      </c>
      <c r="R91" s="371">
        <v>10</v>
      </c>
      <c r="S91" s="374"/>
      <c r="T91" s="374"/>
      <c r="U91" s="374"/>
      <c r="V91" s="374"/>
      <c r="W91" s="374"/>
      <c r="X91" s="374"/>
      <c r="Y91" s="233">
        <f t="shared" si="2"/>
        <v>615</v>
      </c>
    </row>
    <row r="92" spans="1:25" s="214" customFormat="1" ht="12.75" customHeight="1">
      <c r="A92" s="467">
        <v>43</v>
      </c>
      <c r="B92" s="207" t="s">
        <v>489</v>
      </c>
      <c r="C92" s="469" t="s">
        <v>602</v>
      </c>
      <c r="D92" s="469">
        <v>567</v>
      </c>
      <c r="E92" s="481">
        <v>313031.8</v>
      </c>
      <c r="F92" s="208" t="s">
        <v>599</v>
      </c>
      <c r="G92" s="245" t="s">
        <v>486</v>
      </c>
      <c r="H92" s="210">
        <v>27825.68</v>
      </c>
      <c r="I92" s="234">
        <v>27825.68</v>
      </c>
      <c r="J92" s="234">
        <v>27825.68</v>
      </c>
      <c r="K92" s="234">
        <v>27825.68</v>
      </c>
      <c r="L92" s="234">
        <v>27825.68</v>
      </c>
      <c r="M92" s="234">
        <v>27825.68</v>
      </c>
      <c r="N92" s="234">
        <v>27825.68</v>
      </c>
      <c r="O92" s="234">
        <v>27825.68</v>
      </c>
      <c r="P92" s="234">
        <v>27825.68</v>
      </c>
      <c r="Q92" s="234">
        <v>27825.68</v>
      </c>
      <c r="R92" s="234">
        <v>20862.16</v>
      </c>
      <c r="S92" s="234"/>
      <c r="T92" s="234"/>
      <c r="U92" s="234"/>
      <c r="V92" s="234"/>
      <c r="W92" s="234"/>
      <c r="X92" s="234"/>
      <c r="Y92" s="213">
        <f t="shared" si="2"/>
        <v>243467.59999999998</v>
      </c>
    </row>
    <row r="93" spans="1:25" s="214" customFormat="1" ht="12.75">
      <c r="A93" s="468"/>
      <c r="B93" s="215" t="s">
        <v>603</v>
      </c>
      <c r="C93" s="470"/>
      <c r="D93" s="470"/>
      <c r="E93" s="482"/>
      <c r="F93" s="216" t="s">
        <v>604</v>
      </c>
      <c r="G93" s="217">
        <v>0.0042</v>
      </c>
      <c r="H93" s="238">
        <v>2026.51</v>
      </c>
      <c r="I93" s="219">
        <v>1346.04</v>
      </c>
      <c r="J93" s="365">
        <v>1165</v>
      </c>
      <c r="K93" s="365">
        <v>1075</v>
      </c>
      <c r="L93" s="365">
        <v>930</v>
      </c>
      <c r="M93" s="365">
        <v>790</v>
      </c>
      <c r="N93" s="365">
        <v>650</v>
      </c>
      <c r="O93" s="365">
        <v>510</v>
      </c>
      <c r="P93" s="365">
        <v>370</v>
      </c>
      <c r="Q93" s="365">
        <v>225</v>
      </c>
      <c r="R93" s="365">
        <v>85</v>
      </c>
      <c r="S93" s="364"/>
      <c r="T93" s="364"/>
      <c r="U93" s="364"/>
      <c r="V93" s="364"/>
      <c r="W93" s="364"/>
      <c r="X93" s="364"/>
      <c r="Y93" s="220">
        <f t="shared" si="2"/>
        <v>5800</v>
      </c>
    </row>
    <row r="94" spans="1:25" s="214" customFormat="1" ht="12.75">
      <c r="A94" s="473">
        <v>44</v>
      </c>
      <c r="B94" s="221" t="s">
        <v>489</v>
      </c>
      <c r="C94" s="477" t="s">
        <v>596</v>
      </c>
      <c r="D94" s="477" t="s">
        <v>605</v>
      </c>
      <c r="E94" s="483">
        <v>3304011.86</v>
      </c>
      <c r="F94" s="236" t="s">
        <v>606</v>
      </c>
      <c r="G94" s="246" t="s">
        <v>486</v>
      </c>
      <c r="H94" s="224">
        <v>209685.76</v>
      </c>
      <c r="I94" s="225">
        <v>209685.76</v>
      </c>
      <c r="J94" s="225">
        <v>209685.76</v>
      </c>
      <c r="K94" s="225">
        <v>209685.76</v>
      </c>
      <c r="L94" s="225">
        <v>209685.76</v>
      </c>
      <c r="M94" s="225">
        <v>209685.76</v>
      </c>
      <c r="N94" s="225">
        <v>209685.76</v>
      </c>
      <c r="O94" s="225">
        <v>209685.76</v>
      </c>
      <c r="P94" s="225">
        <v>209685.76</v>
      </c>
      <c r="Q94" s="225">
        <v>209685.76</v>
      </c>
      <c r="R94" s="225">
        <v>209685.76</v>
      </c>
      <c r="S94" s="225">
        <v>209685.76</v>
      </c>
      <c r="T94" s="225">
        <v>209685.76</v>
      </c>
      <c r="U94" s="225">
        <v>209685.76</v>
      </c>
      <c r="V94" s="225">
        <v>209685.76</v>
      </c>
      <c r="W94" s="225">
        <v>157302.59</v>
      </c>
      <c r="X94" s="225"/>
      <c r="Y94" s="227">
        <f t="shared" si="2"/>
        <v>2883217.4699999997</v>
      </c>
    </row>
    <row r="95" spans="1:25" s="214" customFormat="1" ht="12.75">
      <c r="A95" s="474"/>
      <c r="B95" s="228" t="s">
        <v>607</v>
      </c>
      <c r="C95" s="478"/>
      <c r="D95" s="478"/>
      <c r="E95" s="484"/>
      <c r="F95" s="229" t="s">
        <v>608</v>
      </c>
      <c r="G95" s="230">
        <v>0.0042</v>
      </c>
      <c r="H95" s="231">
        <v>22393.36</v>
      </c>
      <c r="I95" s="232">
        <v>15403.51</v>
      </c>
      <c r="J95" s="371">
        <v>13900</v>
      </c>
      <c r="K95" s="371">
        <v>13390</v>
      </c>
      <c r="L95" s="371">
        <v>12330</v>
      </c>
      <c r="M95" s="371">
        <v>11265</v>
      </c>
      <c r="N95" s="371">
        <v>10230</v>
      </c>
      <c r="O95" s="371">
        <v>9140</v>
      </c>
      <c r="P95" s="371">
        <v>8075</v>
      </c>
      <c r="Q95" s="371">
        <v>7015</v>
      </c>
      <c r="R95" s="371">
        <v>5965</v>
      </c>
      <c r="S95" s="371">
        <v>4890</v>
      </c>
      <c r="T95" s="371">
        <v>3825</v>
      </c>
      <c r="U95" s="371">
        <v>2760</v>
      </c>
      <c r="V95" s="371">
        <v>1705</v>
      </c>
      <c r="W95" s="371">
        <v>635</v>
      </c>
      <c r="X95" s="371"/>
      <c r="Y95" s="233">
        <f t="shared" si="2"/>
        <v>105125</v>
      </c>
    </row>
    <row r="96" spans="1:25" s="214" customFormat="1" ht="12.75" customHeight="1">
      <c r="A96" s="467">
        <v>45</v>
      </c>
      <c r="B96" s="207" t="s">
        <v>489</v>
      </c>
      <c r="C96" s="469" t="s">
        <v>559</v>
      </c>
      <c r="D96" s="469">
        <v>556</v>
      </c>
      <c r="E96" s="481">
        <v>115461.78</v>
      </c>
      <c r="F96" s="487" t="s">
        <v>609</v>
      </c>
      <c r="G96" s="245" t="s">
        <v>486</v>
      </c>
      <c r="H96" s="210">
        <v>10267.44</v>
      </c>
      <c r="I96" s="234">
        <v>10267.44</v>
      </c>
      <c r="J96" s="234">
        <v>10267.44</v>
      </c>
      <c r="K96" s="234">
        <v>10267.44</v>
      </c>
      <c r="L96" s="234">
        <v>10267.44</v>
      </c>
      <c r="M96" s="234">
        <v>10267.44</v>
      </c>
      <c r="N96" s="234">
        <v>10267.44</v>
      </c>
      <c r="O96" s="234">
        <v>10267.44</v>
      </c>
      <c r="P96" s="234">
        <v>10267.44</v>
      </c>
      <c r="Q96" s="234">
        <v>10267.44</v>
      </c>
      <c r="R96" s="234">
        <v>2519.94</v>
      </c>
      <c r="S96" s="234"/>
      <c r="T96" s="234"/>
      <c r="U96" s="234"/>
      <c r="V96" s="234"/>
      <c r="W96" s="234"/>
      <c r="X96" s="234"/>
      <c r="Y96" s="213">
        <f t="shared" si="2"/>
        <v>84659.46</v>
      </c>
    </row>
    <row r="97" spans="1:25" s="214" customFormat="1" ht="12.75">
      <c r="A97" s="468"/>
      <c r="B97" s="215" t="s">
        <v>610</v>
      </c>
      <c r="C97" s="470"/>
      <c r="D97" s="470"/>
      <c r="E97" s="482"/>
      <c r="F97" s="488"/>
      <c r="G97" s="217">
        <v>0.00295</v>
      </c>
      <c r="H97" s="238">
        <v>555.84</v>
      </c>
      <c r="I97" s="219">
        <v>366.03</v>
      </c>
      <c r="J97" s="365">
        <v>295</v>
      </c>
      <c r="K97" s="365">
        <v>370</v>
      </c>
      <c r="L97" s="365">
        <v>320</v>
      </c>
      <c r="M97" s="365">
        <v>265</v>
      </c>
      <c r="N97" s="365">
        <v>215</v>
      </c>
      <c r="O97" s="365">
        <v>165</v>
      </c>
      <c r="P97" s="365">
        <v>110</v>
      </c>
      <c r="Q97" s="365">
        <v>60</v>
      </c>
      <c r="R97" s="365">
        <v>10</v>
      </c>
      <c r="S97" s="364"/>
      <c r="T97" s="364"/>
      <c r="U97" s="364"/>
      <c r="V97" s="364"/>
      <c r="W97" s="364"/>
      <c r="X97" s="364"/>
      <c r="Y97" s="220">
        <f t="shared" si="2"/>
        <v>1810</v>
      </c>
    </row>
    <row r="98" spans="1:25" s="214" customFormat="1" ht="12.75" customHeight="1">
      <c r="A98" s="473">
        <v>46</v>
      </c>
      <c r="B98" s="221" t="s">
        <v>489</v>
      </c>
      <c r="C98" s="477" t="s">
        <v>578</v>
      </c>
      <c r="D98" s="477">
        <v>560</v>
      </c>
      <c r="E98" s="483">
        <v>779949.97</v>
      </c>
      <c r="F98" s="489" t="s">
        <v>611</v>
      </c>
      <c r="G98" s="246" t="s">
        <v>486</v>
      </c>
      <c r="H98" s="224">
        <v>51052.64</v>
      </c>
      <c r="I98" s="225">
        <v>51052.64</v>
      </c>
      <c r="J98" s="225">
        <v>51052.64</v>
      </c>
      <c r="K98" s="225">
        <v>51052.64</v>
      </c>
      <c r="L98" s="225">
        <v>51052.64</v>
      </c>
      <c r="M98" s="225">
        <v>51052.64</v>
      </c>
      <c r="N98" s="225">
        <v>51052.64</v>
      </c>
      <c r="O98" s="225">
        <v>51052.64</v>
      </c>
      <c r="P98" s="225">
        <v>51052.64</v>
      </c>
      <c r="Q98" s="225">
        <v>51052.64</v>
      </c>
      <c r="R98" s="225">
        <v>51052.64</v>
      </c>
      <c r="S98" s="225">
        <v>51052.64</v>
      </c>
      <c r="T98" s="225">
        <v>51052.64</v>
      </c>
      <c r="U98" s="225">
        <v>51052.64</v>
      </c>
      <c r="V98" s="225">
        <v>51052.64</v>
      </c>
      <c r="W98" s="225">
        <v>12737.5</v>
      </c>
      <c r="X98" s="225"/>
      <c r="Y98" s="227">
        <f t="shared" si="2"/>
        <v>676421.8200000001</v>
      </c>
    </row>
    <row r="99" spans="1:25" s="214" customFormat="1" ht="12.75">
      <c r="A99" s="474"/>
      <c r="B99" s="228" t="s">
        <v>612</v>
      </c>
      <c r="C99" s="478"/>
      <c r="D99" s="478"/>
      <c r="E99" s="484"/>
      <c r="F99" s="490"/>
      <c r="G99" s="230">
        <v>0.00405</v>
      </c>
      <c r="H99" s="231">
        <v>4233.03</v>
      </c>
      <c r="I99" s="232">
        <v>2687.07</v>
      </c>
      <c r="J99" s="371">
        <v>2915</v>
      </c>
      <c r="K99" s="371">
        <v>3130</v>
      </c>
      <c r="L99" s="371">
        <v>2875</v>
      </c>
      <c r="M99" s="371">
        <v>2615</v>
      </c>
      <c r="N99" s="371">
        <v>2360</v>
      </c>
      <c r="O99" s="371">
        <v>2095</v>
      </c>
      <c r="P99" s="371">
        <v>1840</v>
      </c>
      <c r="Q99" s="371">
        <v>1580</v>
      </c>
      <c r="R99" s="371">
        <v>1325</v>
      </c>
      <c r="S99" s="371">
        <v>1060</v>
      </c>
      <c r="T99" s="371">
        <v>805</v>
      </c>
      <c r="U99" s="371">
        <v>545</v>
      </c>
      <c r="V99" s="371">
        <v>285</v>
      </c>
      <c r="W99" s="371">
        <v>45</v>
      </c>
      <c r="X99" s="371"/>
      <c r="Y99" s="233">
        <f t="shared" si="2"/>
        <v>23475</v>
      </c>
    </row>
    <row r="100" spans="1:25" s="214" customFormat="1" ht="12.75" customHeight="1">
      <c r="A100" s="467">
        <v>47</v>
      </c>
      <c r="B100" s="207" t="s">
        <v>489</v>
      </c>
      <c r="C100" s="469" t="s">
        <v>613</v>
      </c>
      <c r="D100" s="469">
        <v>561</v>
      </c>
      <c r="E100" s="481">
        <v>238645.9</v>
      </c>
      <c r="F100" s="487" t="s">
        <v>614</v>
      </c>
      <c r="G100" s="245" t="s">
        <v>486</v>
      </c>
      <c r="H100" s="210">
        <v>21212.16</v>
      </c>
      <c r="I100" s="234">
        <v>21212.16</v>
      </c>
      <c r="J100" s="234">
        <v>21212.16</v>
      </c>
      <c r="K100" s="234">
        <v>21212.16</v>
      </c>
      <c r="L100" s="234">
        <v>21212.16</v>
      </c>
      <c r="M100" s="234">
        <v>21212.16</v>
      </c>
      <c r="N100" s="234">
        <v>21212.16</v>
      </c>
      <c r="O100" s="234">
        <v>21212.16</v>
      </c>
      <c r="P100" s="234">
        <v>21212.16</v>
      </c>
      <c r="Q100" s="234">
        <v>21212.16</v>
      </c>
      <c r="R100" s="234">
        <v>5312.12</v>
      </c>
      <c r="S100" s="234"/>
      <c r="T100" s="234"/>
      <c r="U100" s="234"/>
      <c r="V100" s="234"/>
      <c r="W100" s="234"/>
      <c r="X100" s="234"/>
      <c r="Y100" s="213">
        <f t="shared" si="2"/>
        <v>175009.4</v>
      </c>
    </row>
    <row r="101" spans="1:25" s="214" customFormat="1" ht="12.75">
      <c r="A101" s="468"/>
      <c r="B101" s="215" t="s">
        <v>615</v>
      </c>
      <c r="C101" s="470"/>
      <c r="D101" s="470"/>
      <c r="E101" s="482"/>
      <c r="F101" s="488"/>
      <c r="G101" s="217">
        <v>0.00405</v>
      </c>
      <c r="H101" s="238">
        <v>1179.61</v>
      </c>
      <c r="I101" s="219">
        <v>719.94</v>
      </c>
      <c r="J101" s="365">
        <v>750</v>
      </c>
      <c r="K101" s="365">
        <v>765</v>
      </c>
      <c r="L101" s="365">
        <v>660</v>
      </c>
      <c r="M101" s="365">
        <v>550</v>
      </c>
      <c r="N101" s="365">
        <v>445</v>
      </c>
      <c r="O101" s="365">
        <v>335</v>
      </c>
      <c r="P101" s="365">
        <v>225</v>
      </c>
      <c r="Q101" s="365">
        <v>120</v>
      </c>
      <c r="R101" s="365">
        <v>20</v>
      </c>
      <c r="S101" s="364"/>
      <c r="T101" s="364"/>
      <c r="U101" s="364"/>
      <c r="V101" s="364"/>
      <c r="W101" s="364"/>
      <c r="X101" s="364"/>
      <c r="Y101" s="220">
        <f t="shared" si="2"/>
        <v>3870</v>
      </c>
    </row>
    <row r="102" spans="1:25" s="214" customFormat="1" ht="12.75" customHeight="1">
      <c r="A102" s="473">
        <v>48</v>
      </c>
      <c r="B102" s="221" t="s">
        <v>489</v>
      </c>
      <c r="C102" s="477" t="s">
        <v>569</v>
      </c>
      <c r="D102" s="477">
        <v>559</v>
      </c>
      <c r="E102" s="483">
        <v>600458.34</v>
      </c>
      <c r="F102" s="489" t="s">
        <v>616</v>
      </c>
      <c r="G102" s="246" t="s">
        <v>486</v>
      </c>
      <c r="H102" s="224">
        <v>39282.64</v>
      </c>
      <c r="I102" s="225">
        <v>39282.64</v>
      </c>
      <c r="J102" s="225">
        <v>39282.64</v>
      </c>
      <c r="K102" s="225">
        <v>39282.64</v>
      </c>
      <c r="L102" s="225">
        <v>39282.64</v>
      </c>
      <c r="M102" s="225">
        <v>39282.64</v>
      </c>
      <c r="N102" s="225">
        <v>39282.64</v>
      </c>
      <c r="O102" s="225">
        <v>39282.64</v>
      </c>
      <c r="P102" s="225">
        <v>39282.64</v>
      </c>
      <c r="Q102" s="225">
        <v>39282.64</v>
      </c>
      <c r="R102" s="225">
        <v>39282.64</v>
      </c>
      <c r="S102" s="225">
        <v>39282.64</v>
      </c>
      <c r="T102" s="225">
        <v>39282.64</v>
      </c>
      <c r="U102" s="225">
        <v>39282.64</v>
      </c>
      <c r="V102" s="225">
        <v>39282.4</v>
      </c>
      <c r="W102" s="225">
        <v>9795.88</v>
      </c>
      <c r="X102" s="225"/>
      <c r="Y102" s="227">
        <f t="shared" si="2"/>
        <v>520469.96000000014</v>
      </c>
    </row>
    <row r="103" spans="1:25" s="214" customFormat="1" ht="12.75">
      <c r="A103" s="474"/>
      <c r="B103" s="228" t="s">
        <v>617</v>
      </c>
      <c r="C103" s="478"/>
      <c r="D103" s="478"/>
      <c r="E103" s="484"/>
      <c r="F103" s="490"/>
      <c r="G103" s="230">
        <v>0.00327</v>
      </c>
      <c r="H103" s="231">
        <v>3257.68</v>
      </c>
      <c r="I103" s="232">
        <v>2697.23</v>
      </c>
      <c r="J103" s="371">
        <v>1940</v>
      </c>
      <c r="K103" s="371">
        <v>2410</v>
      </c>
      <c r="L103" s="371">
        <v>2210</v>
      </c>
      <c r="M103" s="371">
        <v>2015</v>
      </c>
      <c r="N103" s="371">
        <v>1820</v>
      </c>
      <c r="O103" s="371">
        <v>1615</v>
      </c>
      <c r="P103" s="371">
        <v>1415</v>
      </c>
      <c r="Q103" s="371">
        <v>1215</v>
      </c>
      <c r="R103" s="371">
        <v>1020</v>
      </c>
      <c r="S103" s="371">
        <v>820</v>
      </c>
      <c r="T103" s="371">
        <v>620</v>
      </c>
      <c r="U103" s="371">
        <v>420</v>
      </c>
      <c r="V103" s="371">
        <v>220</v>
      </c>
      <c r="W103" s="371">
        <v>35</v>
      </c>
      <c r="X103" s="371"/>
      <c r="Y103" s="233">
        <f t="shared" si="2"/>
        <v>17775</v>
      </c>
    </row>
    <row r="104" spans="1:25" s="214" customFormat="1" ht="12.75" customHeight="1">
      <c r="A104" s="467">
        <v>49</v>
      </c>
      <c r="B104" s="207" t="s">
        <v>489</v>
      </c>
      <c r="C104" s="469" t="s">
        <v>618</v>
      </c>
      <c r="D104" s="469">
        <v>562</v>
      </c>
      <c r="E104" s="481">
        <v>183148.91</v>
      </c>
      <c r="F104" s="487" t="s">
        <v>619</v>
      </c>
      <c r="G104" s="245" t="s">
        <v>486</v>
      </c>
      <c r="H104" s="210">
        <v>16283.36</v>
      </c>
      <c r="I104" s="234">
        <v>16283.36</v>
      </c>
      <c r="J104" s="234">
        <v>16283.36</v>
      </c>
      <c r="K104" s="234">
        <v>16283.36</v>
      </c>
      <c r="L104" s="234">
        <v>16283.36</v>
      </c>
      <c r="M104" s="234">
        <v>16283.36</v>
      </c>
      <c r="N104" s="234">
        <v>16283.36</v>
      </c>
      <c r="O104" s="234">
        <v>16283.36</v>
      </c>
      <c r="P104" s="234">
        <v>16283.36</v>
      </c>
      <c r="Q104" s="234">
        <v>16283.36</v>
      </c>
      <c r="R104" s="234">
        <v>4031.97</v>
      </c>
      <c r="S104" s="234"/>
      <c r="T104" s="234"/>
      <c r="U104" s="234"/>
      <c r="V104" s="234"/>
      <c r="W104" s="234"/>
      <c r="X104" s="234"/>
      <c r="Y104" s="213">
        <f t="shared" si="2"/>
        <v>134298.85</v>
      </c>
    </row>
    <row r="105" spans="1:25" s="214" customFormat="1" ht="12.75">
      <c r="A105" s="468"/>
      <c r="B105" s="215" t="s">
        <v>620</v>
      </c>
      <c r="C105" s="470"/>
      <c r="D105" s="470"/>
      <c r="E105" s="482"/>
      <c r="F105" s="488"/>
      <c r="G105" s="217">
        <v>0.00405</v>
      </c>
      <c r="H105" s="238">
        <v>905.26</v>
      </c>
      <c r="I105" s="219">
        <v>552.49</v>
      </c>
      <c r="J105" s="365">
        <v>575</v>
      </c>
      <c r="K105" s="365">
        <v>585</v>
      </c>
      <c r="L105" s="365">
        <v>505</v>
      </c>
      <c r="M105" s="365">
        <v>420</v>
      </c>
      <c r="N105" s="365">
        <v>340</v>
      </c>
      <c r="O105" s="365">
        <v>255</v>
      </c>
      <c r="P105" s="365">
        <v>175</v>
      </c>
      <c r="Q105" s="365">
        <v>90</v>
      </c>
      <c r="R105" s="365">
        <v>15</v>
      </c>
      <c r="S105" s="364"/>
      <c r="T105" s="364"/>
      <c r="U105" s="364"/>
      <c r="V105" s="364"/>
      <c r="W105" s="364"/>
      <c r="X105" s="364"/>
      <c r="Y105" s="220">
        <f t="shared" si="2"/>
        <v>2960</v>
      </c>
    </row>
    <row r="106" spans="1:25" s="214" customFormat="1" ht="12.75" customHeight="1">
      <c r="A106" s="473">
        <v>50</v>
      </c>
      <c r="B106" s="221" t="s">
        <v>489</v>
      </c>
      <c r="C106" s="477" t="s">
        <v>621</v>
      </c>
      <c r="D106" s="477">
        <v>565</v>
      </c>
      <c r="E106" s="483">
        <v>506634.24</v>
      </c>
      <c r="F106" s="489" t="s">
        <v>622</v>
      </c>
      <c r="G106" s="246" t="s">
        <v>486</v>
      </c>
      <c r="H106" s="224">
        <v>45036.72</v>
      </c>
      <c r="I106" s="225">
        <v>45036.72</v>
      </c>
      <c r="J106" s="225">
        <v>45036.72</v>
      </c>
      <c r="K106" s="225">
        <v>45036.72</v>
      </c>
      <c r="L106" s="225">
        <v>45036.72</v>
      </c>
      <c r="M106" s="225">
        <v>45036.72</v>
      </c>
      <c r="N106" s="225">
        <v>45036.72</v>
      </c>
      <c r="O106" s="225">
        <v>45036.72</v>
      </c>
      <c r="P106" s="225">
        <v>45036.72</v>
      </c>
      <c r="Q106" s="225">
        <v>45036.72</v>
      </c>
      <c r="R106" s="225">
        <v>11230.3</v>
      </c>
      <c r="S106" s="225"/>
      <c r="T106" s="225"/>
      <c r="U106" s="225"/>
      <c r="V106" s="225"/>
      <c r="W106" s="225"/>
      <c r="X106" s="225"/>
      <c r="Y106" s="227">
        <f t="shared" si="2"/>
        <v>371524.06</v>
      </c>
    </row>
    <row r="107" spans="1:25" s="214" customFormat="1" ht="12.75">
      <c r="A107" s="474"/>
      <c r="B107" s="228" t="s">
        <v>623</v>
      </c>
      <c r="C107" s="478"/>
      <c r="D107" s="478"/>
      <c r="E107" s="484"/>
      <c r="F107" s="490"/>
      <c r="G107" s="230">
        <v>0.00383</v>
      </c>
      <c r="H107" s="231">
        <v>2849.52</v>
      </c>
      <c r="I107" s="232">
        <v>1897.56</v>
      </c>
      <c r="J107" s="371">
        <v>1430</v>
      </c>
      <c r="K107" s="371">
        <v>1620</v>
      </c>
      <c r="L107" s="371">
        <v>1395</v>
      </c>
      <c r="M107" s="371">
        <v>1165</v>
      </c>
      <c r="N107" s="371">
        <v>940</v>
      </c>
      <c r="O107" s="371">
        <v>710</v>
      </c>
      <c r="P107" s="371">
        <v>480</v>
      </c>
      <c r="Q107" s="371">
        <v>250</v>
      </c>
      <c r="R107" s="371">
        <v>40</v>
      </c>
      <c r="S107" s="374"/>
      <c r="T107" s="374"/>
      <c r="U107" s="374"/>
      <c r="V107" s="374"/>
      <c r="W107" s="374"/>
      <c r="X107" s="374"/>
      <c r="Y107" s="233">
        <f t="shared" si="2"/>
        <v>8030</v>
      </c>
    </row>
    <row r="108" spans="1:25" s="214" customFormat="1" ht="12.75" customHeight="1">
      <c r="A108" s="467">
        <v>51</v>
      </c>
      <c r="B108" s="207" t="s">
        <v>489</v>
      </c>
      <c r="C108" s="469" t="s">
        <v>624</v>
      </c>
      <c r="D108" s="469">
        <v>564</v>
      </c>
      <c r="E108" s="481">
        <v>562230.54</v>
      </c>
      <c r="F108" s="487" t="s">
        <v>625</v>
      </c>
      <c r="G108" s="245" t="s">
        <v>486</v>
      </c>
      <c r="H108" s="210">
        <v>36448.28</v>
      </c>
      <c r="I108" s="234">
        <v>36448.28</v>
      </c>
      <c r="J108" s="234">
        <v>36448.28</v>
      </c>
      <c r="K108" s="234">
        <v>36448.28</v>
      </c>
      <c r="L108" s="234">
        <v>36448.28</v>
      </c>
      <c r="M108" s="234">
        <v>36448.28</v>
      </c>
      <c r="N108" s="234">
        <v>36448.28</v>
      </c>
      <c r="O108" s="234">
        <v>36448.28</v>
      </c>
      <c r="P108" s="234">
        <v>36448.28</v>
      </c>
      <c r="Q108" s="234">
        <v>36448.28</v>
      </c>
      <c r="R108" s="234">
        <v>36448.28</v>
      </c>
      <c r="S108" s="234">
        <v>36448.28</v>
      </c>
      <c r="T108" s="234">
        <v>36448.28</v>
      </c>
      <c r="U108" s="234">
        <v>36448.28</v>
      </c>
      <c r="V108" s="234">
        <v>36448.28</v>
      </c>
      <c r="W108" s="234">
        <v>9092.02</v>
      </c>
      <c r="X108" s="234"/>
      <c r="Y108" s="213">
        <f t="shared" si="2"/>
        <v>482919.66000000015</v>
      </c>
    </row>
    <row r="109" spans="1:25" s="214" customFormat="1" ht="12.75">
      <c r="A109" s="468"/>
      <c r="B109" s="215" t="s">
        <v>626</v>
      </c>
      <c r="C109" s="470"/>
      <c r="D109" s="470"/>
      <c r="E109" s="482"/>
      <c r="F109" s="488"/>
      <c r="G109" s="217">
        <v>0.00383</v>
      </c>
      <c r="H109" s="238">
        <v>3438.91</v>
      </c>
      <c r="I109" s="219">
        <v>2380.9</v>
      </c>
      <c r="J109" s="365">
        <v>1875</v>
      </c>
      <c r="K109" s="365">
        <v>2235</v>
      </c>
      <c r="L109" s="365">
        <v>2050</v>
      </c>
      <c r="M109" s="365">
        <v>1865</v>
      </c>
      <c r="N109" s="365">
        <v>1685</v>
      </c>
      <c r="O109" s="365">
        <v>1500</v>
      </c>
      <c r="P109" s="365">
        <v>1315</v>
      </c>
      <c r="Q109" s="365">
        <v>1130</v>
      </c>
      <c r="R109" s="365">
        <v>945</v>
      </c>
      <c r="S109" s="365">
        <v>760</v>
      </c>
      <c r="T109" s="365">
        <v>575</v>
      </c>
      <c r="U109" s="365">
        <v>390</v>
      </c>
      <c r="V109" s="365">
        <v>205</v>
      </c>
      <c r="W109" s="365">
        <v>35</v>
      </c>
      <c r="X109" s="365"/>
      <c r="Y109" s="220">
        <f t="shared" si="2"/>
        <v>16565</v>
      </c>
    </row>
    <row r="110" spans="1:25" s="214" customFormat="1" ht="12.75" customHeight="1">
      <c r="A110" s="473">
        <v>52</v>
      </c>
      <c r="B110" s="221" t="s">
        <v>489</v>
      </c>
      <c r="C110" s="477" t="s">
        <v>627</v>
      </c>
      <c r="D110" s="477">
        <v>563</v>
      </c>
      <c r="E110" s="483">
        <v>140213.39</v>
      </c>
      <c r="F110" s="489" t="s">
        <v>622</v>
      </c>
      <c r="G110" s="246" t="s">
        <v>486</v>
      </c>
      <c r="H110" s="224">
        <v>12464.36</v>
      </c>
      <c r="I110" s="225">
        <v>12464.36</v>
      </c>
      <c r="J110" s="225">
        <v>12464.36</v>
      </c>
      <c r="K110" s="225">
        <v>12464.36</v>
      </c>
      <c r="L110" s="225">
        <v>12464.36</v>
      </c>
      <c r="M110" s="225">
        <v>12464.36</v>
      </c>
      <c r="N110" s="225">
        <v>12464.36</v>
      </c>
      <c r="O110" s="225">
        <v>12464.36</v>
      </c>
      <c r="P110" s="225">
        <v>12464.36</v>
      </c>
      <c r="Q110" s="225">
        <v>12464.36</v>
      </c>
      <c r="R110" s="225">
        <v>3105.43</v>
      </c>
      <c r="S110" s="225"/>
      <c r="T110" s="225"/>
      <c r="U110" s="225"/>
      <c r="V110" s="225"/>
      <c r="W110" s="225"/>
      <c r="X110" s="225"/>
      <c r="Y110" s="227">
        <f t="shared" si="2"/>
        <v>102820.31</v>
      </c>
    </row>
    <row r="111" spans="1:25" s="214" customFormat="1" ht="12.75">
      <c r="A111" s="474"/>
      <c r="B111" s="228" t="s">
        <v>628</v>
      </c>
      <c r="C111" s="478"/>
      <c r="D111" s="478"/>
      <c r="E111" s="484"/>
      <c r="F111" s="490"/>
      <c r="G111" s="230">
        <v>0.00383</v>
      </c>
      <c r="H111" s="231">
        <v>788.63</v>
      </c>
      <c r="I111" s="232">
        <v>525.14</v>
      </c>
      <c r="J111" s="371">
        <v>400</v>
      </c>
      <c r="K111" s="371">
        <v>450</v>
      </c>
      <c r="L111" s="371">
        <v>390</v>
      </c>
      <c r="M111" s="371">
        <v>325</v>
      </c>
      <c r="N111" s="371">
        <v>260</v>
      </c>
      <c r="O111" s="371">
        <v>200</v>
      </c>
      <c r="P111" s="371">
        <v>135</v>
      </c>
      <c r="Q111" s="371">
        <v>70</v>
      </c>
      <c r="R111" s="371">
        <v>15</v>
      </c>
      <c r="S111" s="374"/>
      <c r="T111" s="374"/>
      <c r="U111" s="374"/>
      <c r="V111" s="374"/>
      <c r="W111" s="374"/>
      <c r="X111" s="374"/>
      <c r="Y111" s="233">
        <f t="shared" si="2"/>
        <v>2245</v>
      </c>
    </row>
    <row r="112" spans="1:25" s="214" customFormat="1" ht="12.75" customHeight="1">
      <c r="A112" s="467">
        <v>53</v>
      </c>
      <c r="B112" s="207" t="s">
        <v>489</v>
      </c>
      <c r="C112" s="469" t="s">
        <v>629</v>
      </c>
      <c r="D112" s="469">
        <v>593</v>
      </c>
      <c r="E112" s="481">
        <v>178581.82</v>
      </c>
      <c r="F112" s="487" t="s">
        <v>630</v>
      </c>
      <c r="G112" s="245" t="s">
        <v>486</v>
      </c>
      <c r="H112" s="247">
        <v>1924.73</v>
      </c>
      <c r="I112" s="212"/>
      <c r="J112" s="234"/>
      <c r="K112" s="234"/>
      <c r="L112" s="234"/>
      <c r="M112" s="234"/>
      <c r="N112" s="234"/>
      <c r="O112" s="234">
        <v>15737.42</v>
      </c>
      <c r="P112" s="234">
        <v>15873.56</v>
      </c>
      <c r="Q112" s="234">
        <v>15873.56</v>
      </c>
      <c r="R112" s="234">
        <v>15873.56</v>
      </c>
      <c r="S112" s="234">
        <v>3972.68</v>
      </c>
      <c r="T112" s="234"/>
      <c r="U112" s="234"/>
      <c r="V112" s="234"/>
      <c r="W112" s="234"/>
      <c r="X112" s="234"/>
      <c r="Y112" s="213">
        <f t="shared" si="2"/>
        <v>67330.78</v>
      </c>
    </row>
    <row r="113" spans="1:25" s="214" customFormat="1" ht="12.75">
      <c r="A113" s="468"/>
      <c r="B113" s="215" t="s">
        <v>631</v>
      </c>
      <c r="C113" s="470"/>
      <c r="D113" s="470"/>
      <c r="E113" s="482"/>
      <c r="F113" s="488"/>
      <c r="G113" s="217">
        <v>0.00287</v>
      </c>
      <c r="H113" s="238">
        <v>423.72</v>
      </c>
      <c r="I113" s="219">
        <v>327.28</v>
      </c>
      <c r="J113" s="365">
        <v>270</v>
      </c>
      <c r="K113" s="365">
        <v>345</v>
      </c>
      <c r="L113" s="365">
        <v>345</v>
      </c>
      <c r="M113" s="365">
        <v>345</v>
      </c>
      <c r="N113" s="365">
        <v>345</v>
      </c>
      <c r="O113" s="365">
        <v>325</v>
      </c>
      <c r="P113" s="365">
        <v>250</v>
      </c>
      <c r="Q113" s="365">
        <v>170</v>
      </c>
      <c r="R113" s="365">
        <v>90</v>
      </c>
      <c r="S113" s="365">
        <v>15</v>
      </c>
      <c r="T113" s="364"/>
      <c r="U113" s="364"/>
      <c r="V113" s="364"/>
      <c r="W113" s="364"/>
      <c r="X113" s="364"/>
      <c r="Y113" s="220">
        <f t="shared" si="2"/>
        <v>2500</v>
      </c>
    </row>
    <row r="114" spans="1:25" s="214" customFormat="1" ht="12.75" customHeight="1">
      <c r="A114" s="473">
        <v>54</v>
      </c>
      <c r="B114" s="221" t="s">
        <v>489</v>
      </c>
      <c r="C114" s="477" t="s">
        <v>632</v>
      </c>
      <c r="D114" s="477">
        <v>594</v>
      </c>
      <c r="E114" s="483">
        <v>75804.92</v>
      </c>
      <c r="F114" s="489" t="s">
        <v>633</v>
      </c>
      <c r="G114" s="246" t="s">
        <v>486</v>
      </c>
      <c r="H114" s="224">
        <v>5048.49</v>
      </c>
      <c r="I114" s="225">
        <v>6738.72</v>
      </c>
      <c r="J114" s="225">
        <v>6738.72</v>
      </c>
      <c r="K114" s="225">
        <v>6738.72</v>
      </c>
      <c r="L114" s="225">
        <v>6738.72</v>
      </c>
      <c r="M114" s="225">
        <v>6738.72</v>
      </c>
      <c r="N114" s="225">
        <v>6738.72</v>
      </c>
      <c r="O114" s="225">
        <v>6738.72</v>
      </c>
      <c r="P114" s="225">
        <v>6738.72</v>
      </c>
      <c r="Q114" s="225">
        <v>6738.72</v>
      </c>
      <c r="R114" s="225">
        <v>6738.72</v>
      </c>
      <c r="S114" s="225">
        <v>3369.37</v>
      </c>
      <c r="T114" s="225"/>
      <c r="U114" s="225"/>
      <c r="V114" s="225"/>
      <c r="W114" s="225"/>
      <c r="X114" s="225"/>
      <c r="Y114" s="227">
        <f t="shared" si="2"/>
        <v>64017.850000000006</v>
      </c>
    </row>
    <row r="115" spans="1:25" s="214" customFormat="1" ht="12.75">
      <c r="A115" s="474"/>
      <c r="B115" s="228" t="s">
        <v>634</v>
      </c>
      <c r="C115" s="478"/>
      <c r="D115" s="478"/>
      <c r="E115" s="484"/>
      <c r="F115" s="490"/>
      <c r="G115" s="230">
        <v>0.00312</v>
      </c>
      <c r="H115" s="231">
        <v>466.63</v>
      </c>
      <c r="I115" s="232">
        <v>352.45</v>
      </c>
      <c r="J115" s="371">
        <v>260</v>
      </c>
      <c r="K115" s="371">
        <v>285</v>
      </c>
      <c r="L115" s="371">
        <v>255</v>
      </c>
      <c r="M115" s="371">
        <v>220</v>
      </c>
      <c r="N115" s="371">
        <v>185</v>
      </c>
      <c r="O115" s="371">
        <v>150</v>
      </c>
      <c r="P115" s="371">
        <v>115</v>
      </c>
      <c r="Q115" s="371">
        <v>80</v>
      </c>
      <c r="R115" s="371">
        <v>50</v>
      </c>
      <c r="S115" s="371">
        <v>15</v>
      </c>
      <c r="T115" s="374"/>
      <c r="U115" s="374"/>
      <c r="V115" s="374"/>
      <c r="W115" s="374"/>
      <c r="X115" s="374"/>
      <c r="Y115" s="233">
        <f t="shared" si="2"/>
        <v>1615</v>
      </c>
    </row>
    <row r="116" spans="1:25" s="214" customFormat="1" ht="12.75" customHeight="1">
      <c r="A116" s="467">
        <v>55</v>
      </c>
      <c r="B116" s="207" t="s">
        <v>489</v>
      </c>
      <c r="C116" s="469" t="s">
        <v>635</v>
      </c>
      <c r="D116" s="469">
        <v>597</v>
      </c>
      <c r="E116" s="481">
        <v>912733.07</v>
      </c>
      <c r="F116" s="487" t="s">
        <v>636</v>
      </c>
      <c r="G116" s="245" t="s">
        <v>486</v>
      </c>
      <c r="H116" s="210">
        <v>60849.11</v>
      </c>
      <c r="I116" s="234">
        <v>81132.16</v>
      </c>
      <c r="J116" s="234">
        <v>81132.16</v>
      </c>
      <c r="K116" s="234">
        <v>81132.16</v>
      </c>
      <c r="L116" s="234">
        <v>81132.16</v>
      </c>
      <c r="M116" s="234">
        <v>81132.16</v>
      </c>
      <c r="N116" s="234">
        <v>81132.16</v>
      </c>
      <c r="O116" s="234">
        <v>81132.16</v>
      </c>
      <c r="P116" s="234">
        <v>81132.16</v>
      </c>
      <c r="Q116" s="234">
        <v>81132.16</v>
      </c>
      <c r="R116" s="234">
        <v>81132.16</v>
      </c>
      <c r="S116" s="234">
        <v>40562.36</v>
      </c>
      <c r="T116" s="234"/>
      <c r="U116" s="234"/>
      <c r="V116" s="234"/>
      <c r="W116" s="234"/>
      <c r="X116" s="234"/>
      <c r="Y116" s="213">
        <f t="shared" si="2"/>
        <v>770751.8000000002</v>
      </c>
    </row>
    <row r="117" spans="1:25" s="214" customFormat="1" ht="12.75">
      <c r="A117" s="468"/>
      <c r="B117" s="215" t="s">
        <v>637</v>
      </c>
      <c r="C117" s="470"/>
      <c r="D117" s="470"/>
      <c r="E117" s="482"/>
      <c r="F117" s="488"/>
      <c r="G117" s="217">
        <v>0.0033</v>
      </c>
      <c r="H117" s="238">
        <v>5264.46</v>
      </c>
      <c r="I117" s="219">
        <v>4438.62</v>
      </c>
      <c r="J117" s="365">
        <v>3185</v>
      </c>
      <c r="K117" s="365">
        <v>3435</v>
      </c>
      <c r="L117" s="365">
        <v>3025</v>
      </c>
      <c r="M117" s="365">
        <v>2610</v>
      </c>
      <c r="N117" s="365">
        <v>2205</v>
      </c>
      <c r="O117" s="365">
        <v>1790</v>
      </c>
      <c r="P117" s="365">
        <v>1380</v>
      </c>
      <c r="Q117" s="365">
        <v>965</v>
      </c>
      <c r="R117" s="365">
        <v>555</v>
      </c>
      <c r="S117" s="365">
        <v>145</v>
      </c>
      <c r="T117" s="364"/>
      <c r="U117" s="364"/>
      <c r="V117" s="364"/>
      <c r="W117" s="364"/>
      <c r="X117" s="364"/>
      <c r="Y117" s="220">
        <f t="shared" si="2"/>
        <v>19295</v>
      </c>
    </row>
    <row r="118" spans="1:25" s="214" customFormat="1" ht="12.75" customHeight="1">
      <c r="A118" s="473">
        <v>56</v>
      </c>
      <c r="B118" s="221" t="s">
        <v>489</v>
      </c>
      <c r="C118" s="477" t="s">
        <v>638</v>
      </c>
      <c r="D118" s="477">
        <v>598</v>
      </c>
      <c r="E118" s="483">
        <v>156218.53</v>
      </c>
      <c r="F118" s="489" t="s">
        <v>639</v>
      </c>
      <c r="G118" s="246" t="s">
        <v>486</v>
      </c>
      <c r="H118" s="224">
        <v>10415.42</v>
      </c>
      <c r="I118" s="225">
        <v>13887.24</v>
      </c>
      <c r="J118" s="225">
        <v>13887.24</v>
      </c>
      <c r="K118" s="225">
        <v>13887.24</v>
      </c>
      <c r="L118" s="225">
        <v>13887.24</v>
      </c>
      <c r="M118" s="225">
        <v>13887.24</v>
      </c>
      <c r="N118" s="225">
        <v>13887.24</v>
      </c>
      <c r="O118" s="225">
        <v>13887.24</v>
      </c>
      <c r="P118" s="225">
        <v>13887.24</v>
      </c>
      <c r="Q118" s="225">
        <v>13887.24</v>
      </c>
      <c r="R118" s="225">
        <v>13887.24</v>
      </c>
      <c r="S118" s="225">
        <v>6930.8</v>
      </c>
      <c r="T118" s="225"/>
      <c r="U118" s="225"/>
      <c r="V118" s="225"/>
      <c r="W118" s="225"/>
      <c r="X118" s="225"/>
      <c r="Y118" s="227">
        <f t="shared" si="2"/>
        <v>131915.96000000002</v>
      </c>
    </row>
    <row r="119" spans="1:25" s="214" customFormat="1" ht="12.75">
      <c r="A119" s="474"/>
      <c r="B119" s="228" t="s">
        <v>640</v>
      </c>
      <c r="C119" s="478"/>
      <c r="D119" s="478"/>
      <c r="E119" s="484"/>
      <c r="F119" s="490"/>
      <c r="G119" s="230">
        <v>0.00295</v>
      </c>
      <c r="H119" s="231">
        <v>841.6</v>
      </c>
      <c r="I119" s="232">
        <v>622.65</v>
      </c>
      <c r="J119" s="371">
        <v>460</v>
      </c>
      <c r="K119" s="371">
        <v>590</v>
      </c>
      <c r="L119" s="371">
        <v>520</v>
      </c>
      <c r="M119" s="371">
        <v>450</v>
      </c>
      <c r="N119" s="371">
        <v>380</v>
      </c>
      <c r="O119" s="371">
        <v>310</v>
      </c>
      <c r="P119" s="371">
        <v>240</v>
      </c>
      <c r="Q119" s="371">
        <v>165</v>
      </c>
      <c r="R119" s="371">
        <v>95</v>
      </c>
      <c r="S119" s="371">
        <v>25</v>
      </c>
      <c r="T119" s="374"/>
      <c r="U119" s="374"/>
      <c r="V119" s="374"/>
      <c r="W119" s="374"/>
      <c r="X119" s="374"/>
      <c r="Y119" s="233">
        <f t="shared" si="2"/>
        <v>3235</v>
      </c>
    </row>
    <row r="120" spans="1:25" s="214" customFormat="1" ht="12.75" customHeight="1">
      <c r="A120" s="467">
        <v>57</v>
      </c>
      <c r="B120" s="207" t="s">
        <v>489</v>
      </c>
      <c r="C120" s="469" t="s">
        <v>641</v>
      </c>
      <c r="D120" s="469">
        <v>599</v>
      </c>
      <c r="E120" s="481">
        <v>142226.65</v>
      </c>
      <c r="F120" s="487" t="s">
        <v>642</v>
      </c>
      <c r="G120" s="245" t="s">
        <v>486</v>
      </c>
      <c r="H120" s="210">
        <v>6450.53</v>
      </c>
      <c r="I120" s="234">
        <v>12931.04</v>
      </c>
      <c r="J120" s="234">
        <v>12931.04</v>
      </c>
      <c r="K120" s="234">
        <v>12931.04</v>
      </c>
      <c r="L120" s="234">
        <v>12931.04</v>
      </c>
      <c r="M120" s="234">
        <v>12931.04</v>
      </c>
      <c r="N120" s="234">
        <v>12931.04</v>
      </c>
      <c r="O120" s="234">
        <v>12931.04</v>
      </c>
      <c r="P120" s="234">
        <v>12931.04</v>
      </c>
      <c r="Q120" s="234">
        <v>12931.04</v>
      </c>
      <c r="R120" s="234">
        <v>12931.04</v>
      </c>
      <c r="S120" s="234">
        <v>6465.71</v>
      </c>
      <c r="T120" s="234"/>
      <c r="U120" s="234"/>
      <c r="V120" s="234"/>
      <c r="W120" s="234"/>
      <c r="X120" s="234"/>
      <c r="Y120" s="213">
        <f t="shared" si="2"/>
        <v>122845.07000000002</v>
      </c>
    </row>
    <row r="121" spans="1:25" s="214" customFormat="1" ht="12.75">
      <c r="A121" s="468"/>
      <c r="B121" s="215" t="s">
        <v>643</v>
      </c>
      <c r="C121" s="470"/>
      <c r="D121" s="470"/>
      <c r="E121" s="482"/>
      <c r="F121" s="488"/>
      <c r="G121" s="217">
        <v>0.00352</v>
      </c>
      <c r="H121" s="238">
        <v>989.53</v>
      </c>
      <c r="I121" s="219">
        <v>511.81</v>
      </c>
      <c r="J121" s="365">
        <v>440</v>
      </c>
      <c r="K121" s="365">
        <v>550</v>
      </c>
      <c r="L121" s="365">
        <v>485</v>
      </c>
      <c r="M121" s="365">
        <v>420</v>
      </c>
      <c r="N121" s="365">
        <v>355</v>
      </c>
      <c r="O121" s="365">
        <v>285</v>
      </c>
      <c r="P121" s="365">
        <v>220</v>
      </c>
      <c r="Q121" s="365">
        <v>155</v>
      </c>
      <c r="R121" s="365">
        <v>90</v>
      </c>
      <c r="S121" s="365">
        <v>25</v>
      </c>
      <c r="T121" s="364"/>
      <c r="U121" s="364"/>
      <c r="V121" s="364"/>
      <c r="W121" s="364"/>
      <c r="X121" s="364"/>
      <c r="Y121" s="220">
        <f t="shared" si="2"/>
        <v>3025</v>
      </c>
    </row>
    <row r="122" spans="1:25" s="214" customFormat="1" ht="12.75" customHeight="1">
      <c r="A122" s="467">
        <v>58</v>
      </c>
      <c r="B122" s="207" t="s">
        <v>489</v>
      </c>
      <c r="C122" s="469" t="s">
        <v>559</v>
      </c>
      <c r="D122" s="469">
        <v>600</v>
      </c>
      <c r="E122" s="481">
        <v>29053.99</v>
      </c>
      <c r="F122" s="487" t="s">
        <v>642</v>
      </c>
      <c r="G122" s="245" t="s">
        <v>486</v>
      </c>
      <c r="H122" s="210">
        <v>1922.66</v>
      </c>
      <c r="I122" s="234">
        <v>2583.92</v>
      </c>
      <c r="J122" s="234">
        <v>2583.92</v>
      </c>
      <c r="K122" s="234">
        <v>2583.92</v>
      </c>
      <c r="L122" s="234">
        <v>2583.92</v>
      </c>
      <c r="M122" s="234">
        <v>2583.92</v>
      </c>
      <c r="N122" s="234">
        <v>2583.92</v>
      </c>
      <c r="O122" s="234">
        <v>2583.92</v>
      </c>
      <c r="P122" s="234">
        <v>2583.92</v>
      </c>
      <c r="Q122" s="234">
        <v>2583.92</v>
      </c>
      <c r="R122" s="234">
        <v>2583.92</v>
      </c>
      <c r="S122" s="234">
        <v>1292.13</v>
      </c>
      <c r="T122" s="234"/>
      <c r="U122" s="234"/>
      <c r="V122" s="234"/>
      <c r="W122" s="234"/>
      <c r="X122" s="234"/>
      <c r="Y122" s="213">
        <f t="shared" si="2"/>
        <v>24547.41</v>
      </c>
    </row>
    <row r="123" spans="1:25" s="214" customFormat="1" ht="12.75">
      <c r="A123" s="468"/>
      <c r="B123" s="215" t="s">
        <v>644</v>
      </c>
      <c r="C123" s="470"/>
      <c r="D123" s="470"/>
      <c r="E123" s="482"/>
      <c r="F123" s="488"/>
      <c r="G123" s="217">
        <v>0.00352</v>
      </c>
      <c r="H123" s="238">
        <v>200.72</v>
      </c>
      <c r="I123" s="219">
        <v>102.26</v>
      </c>
      <c r="J123" s="365">
        <v>95</v>
      </c>
      <c r="K123" s="365">
        <v>110</v>
      </c>
      <c r="L123" s="365">
        <v>100</v>
      </c>
      <c r="M123" s="365">
        <v>85</v>
      </c>
      <c r="N123" s="365">
        <v>70</v>
      </c>
      <c r="O123" s="365">
        <v>60</v>
      </c>
      <c r="P123" s="365">
        <v>45</v>
      </c>
      <c r="Q123" s="365">
        <v>35</v>
      </c>
      <c r="R123" s="365">
        <v>20</v>
      </c>
      <c r="S123" s="365">
        <v>5</v>
      </c>
      <c r="T123" s="364"/>
      <c r="U123" s="364"/>
      <c r="V123" s="364"/>
      <c r="W123" s="364"/>
      <c r="X123" s="364"/>
      <c r="Y123" s="220">
        <f t="shared" si="2"/>
        <v>625</v>
      </c>
    </row>
    <row r="124" spans="1:25" s="214" customFormat="1" ht="12.75" customHeight="1">
      <c r="A124" s="473">
        <v>59</v>
      </c>
      <c r="B124" s="221" t="s">
        <v>489</v>
      </c>
      <c r="C124" s="477" t="s">
        <v>645</v>
      </c>
      <c r="D124" s="477">
        <v>602</v>
      </c>
      <c r="E124" s="483">
        <v>28919.87</v>
      </c>
      <c r="F124" s="489" t="s">
        <v>646</v>
      </c>
      <c r="G124" s="246" t="s">
        <v>486</v>
      </c>
      <c r="H124" s="248"/>
      <c r="I124" s="225">
        <v>2572.56</v>
      </c>
      <c r="J124" s="225">
        <v>2572.56</v>
      </c>
      <c r="K124" s="225">
        <v>2572.56</v>
      </c>
      <c r="L124" s="225">
        <v>2572.56</v>
      </c>
      <c r="M124" s="225">
        <v>2572.56</v>
      </c>
      <c r="N124" s="225">
        <v>2572.56</v>
      </c>
      <c r="O124" s="225">
        <v>2572.56</v>
      </c>
      <c r="P124" s="225">
        <v>2572.56</v>
      </c>
      <c r="Q124" s="225">
        <v>2572.56</v>
      </c>
      <c r="R124" s="225">
        <v>2572.56</v>
      </c>
      <c r="S124" s="225">
        <v>2572.56</v>
      </c>
      <c r="T124" s="225">
        <v>621.71</v>
      </c>
      <c r="U124" s="225"/>
      <c r="V124" s="225"/>
      <c r="W124" s="225"/>
      <c r="X124" s="225"/>
      <c r="Y124" s="227">
        <f t="shared" si="2"/>
        <v>26347.31</v>
      </c>
    </row>
    <row r="125" spans="1:25" s="214" customFormat="1" ht="12.75">
      <c r="A125" s="474"/>
      <c r="B125" s="228" t="s">
        <v>647</v>
      </c>
      <c r="C125" s="478"/>
      <c r="D125" s="478"/>
      <c r="E125" s="484"/>
      <c r="F125" s="490"/>
      <c r="G125" s="230">
        <v>0.00338</v>
      </c>
      <c r="H125" s="231">
        <v>191.99</v>
      </c>
      <c r="I125" s="232">
        <v>136.2</v>
      </c>
      <c r="J125" s="371">
        <v>125</v>
      </c>
      <c r="K125" s="371">
        <v>120</v>
      </c>
      <c r="L125" s="371">
        <v>110</v>
      </c>
      <c r="M125" s="371">
        <v>95</v>
      </c>
      <c r="N125" s="371">
        <v>80</v>
      </c>
      <c r="O125" s="371">
        <v>70</v>
      </c>
      <c r="P125" s="371">
        <v>55</v>
      </c>
      <c r="Q125" s="371">
        <v>40</v>
      </c>
      <c r="R125" s="371">
        <v>30</v>
      </c>
      <c r="S125" s="371">
        <v>15</v>
      </c>
      <c r="T125" s="371">
        <v>5</v>
      </c>
      <c r="U125" s="374"/>
      <c r="V125" s="374"/>
      <c r="W125" s="374"/>
      <c r="X125" s="374"/>
      <c r="Y125" s="233">
        <f t="shared" si="2"/>
        <v>745</v>
      </c>
    </row>
    <row r="126" spans="1:25" s="214" customFormat="1" ht="12.75" customHeight="1">
      <c r="A126" s="467">
        <v>60</v>
      </c>
      <c r="B126" s="207" t="s">
        <v>489</v>
      </c>
      <c r="C126" s="469" t="s">
        <v>648</v>
      </c>
      <c r="D126" s="469">
        <v>608</v>
      </c>
      <c r="E126" s="481">
        <v>8466400.93</v>
      </c>
      <c r="F126" s="487" t="s">
        <v>649</v>
      </c>
      <c r="G126" s="245" t="s">
        <v>486</v>
      </c>
      <c r="H126" s="247">
        <v>2323199.85</v>
      </c>
      <c r="I126" s="234"/>
      <c r="J126" s="234"/>
      <c r="K126" s="234"/>
      <c r="L126" s="234">
        <v>376286</v>
      </c>
      <c r="M126" s="234">
        <v>752572</v>
      </c>
      <c r="N126" s="234">
        <v>752572</v>
      </c>
      <c r="O126" s="234">
        <v>752572</v>
      </c>
      <c r="P126" s="234">
        <v>752572</v>
      </c>
      <c r="Q126" s="234">
        <v>752572</v>
      </c>
      <c r="R126" s="234">
        <v>752572</v>
      </c>
      <c r="S126" s="234">
        <v>752572</v>
      </c>
      <c r="T126" s="234">
        <v>498911.08</v>
      </c>
      <c r="U126" s="234"/>
      <c r="V126" s="234"/>
      <c r="W126" s="234"/>
      <c r="X126" s="234"/>
      <c r="Y126" s="213">
        <f t="shared" si="2"/>
        <v>6143201.08</v>
      </c>
    </row>
    <row r="127" spans="1:25" s="214" customFormat="1" ht="12.75">
      <c r="A127" s="468"/>
      <c r="B127" s="215" t="s">
        <v>650</v>
      </c>
      <c r="C127" s="470"/>
      <c r="D127" s="470"/>
      <c r="E127" s="482"/>
      <c r="F127" s="488"/>
      <c r="G127" s="217">
        <v>0.00405</v>
      </c>
      <c r="H127" s="238">
        <v>46718.52</v>
      </c>
      <c r="I127" s="219">
        <v>24909.09</v>
      </c>
      <c r="J127" s="365">
        <v>26790</v>
      </c>
      <c r="K127" s="365">
        <v>31145</v>
      </c>
      <c r="L127" s="365">
        <v>31120</v>
      </c>
      <c r="M127" s="365">
        <v>28650</v>
      </c>
      <c r="N127" s="365">
        <v>24905</v>
      </c>
      <c r="O127" s="365">
        <v>21020</v>
      </c>
      <c r="P127" s="365">
        <v>17205</v>
      </c>
      <c r="Q127" s="365">
        <v>13390</v>
      </c>
      <c r="R127" s="365">
        <v>9600</v>
      </c>
      <c r="S127" s="365">
        <v>5760</v>
      </c>
      <c r="T127" s="365">
        <v>1955</v>
      </c>
      <c r="U127" s="364"/>
      <c r="V127" s="364"/>
      <c r="W127" s="364"/>
      <c r="X127" s="364"/>
      <c r="Y127" s="220">
        <f t="shared" si="2"/>
        <v>211540</v>
      </c>
    </row>
    <row r="128" spans="1:25" s="214" customFormat="1" ht="15.75" customHeight="1">
      <c r="A128" s="473">
        <v>61</v>
      </c>
      <c r="B128" s="221" t="s">
        <v>489</v>
      </c>
      <c r="C128" s="477" t="s">
        <v>651</v>
      </c>
      <c r="D128" s="477">
        <v>609</v>
      </c>
      <c r="E128" s="483">
        <v>351453.61</v>
      </c>
      <c r="F128" s="489" t="s">
        <v>652</v>
      </c>
      <c r="G128" s="246" t="s">
        <v>486</v>
      </c>
      <c r="H128" s="248"/>
      <c r="I128" s="226"/>
      <c r="J128" s="225"/>
      <c r="K128" s="225"/>
      <c r="L128" s="225"/>
      <c r="M128" s="225"/>
      <c r="N128" s="225">
        <v>16815.83</v>
      </c>
      <c r="O128" s="225">
        <v>31303.16</v>
      </c>
      <c r="P128" s="225">
        <v>31303.16</v>
      </c>
      <c r="Q128" s="225">
        <v>31303.16</v>
      </c>
      <c r="R128" s="225">
        <v>31303.16</v>
      </c>
      <c r="S128" s="225">
        <v>31303.16</v>
      </c>
      <c r="T128" s="225">
        <v>30596.12</v>
      </c>
      <c r="U128" s="225"/>
      <c r="V128" s="225"/>
      <c r="W128" s="225"/>
      <c r="X128" s="225"/>
      <c r="Y128" s="227">
        <f>SUM(J128:X128)</f>
        <v>203927.75</v>
      </c>
    </row>
    <row r="129" spans="1:25" s="214" customFormat="1" ht="18" customHeight="1">
      <c r="A129" s="474"/>
      <c r="B129" s="228" t="s">
        <v>653</v>
      </c>
      <c r="C129" s="478"/>
      <c r="D129" s="478"/>
      <c r="E129" s="484"/>
      <c r="F129" s="490"/>
      <c r="G129" s="230">
        <v>0.00369</v>
      </c>
      <c r="H129" s="231">
        <v>1224.77</v>
      </c>
      <c r="I129" s="232">
        <v>747.57</v>
      </c>
      <c r="J129" s="371">
        <v>780</v>
      </c>
      <c r="K129" s="371">
        <v>1035</v>
      </c>
      <c r="L129" s="371">
        <v>1035</v>
      </c>
      <c r="M129" s="371">
        <v>1035</v>
      </c>
      <c r="N129" s="371">
        <v>1035</v>
      </c>
      <c r="O129" s="371">
        <v>925</v>
      </c>
      <c r="P129" s="371">
        <v>770</v>
      </c>
      <c r="Q129" s="371">
        <v>610</v>
      </c>
      <c r="R129" s="371">
        <v>450</v>
      </c>
      <c r="S129" s="371">
        <v>290</v>
      </c>
      <c r="T129" s="371">
        <v>135</v>
      </c>
      <c r="U129" s="371">
        <v>10</v>
      </c>
      <c r="V129" s="374"/>
      <c r="W129" s="374"/>
      <c r="X129" s="374"/>
      <c r="Y129" s="233">
        <f>SUM(J129:X129)</f>
        <v>8110</v>
      </c>
    </row>
    <row r="130" spans="1:25" s="214" customFormat="1" ht="12.75" customHeight="1">
      <c r="A130" s="467">
        <v>62</v>
      </c>
      <c r="B130" s="207" t="s">
        <v>489</v>
      </c>
      <c r="C130" s="469" t="s">
        <v>654</v>
      </c>
      <c r="D130" s="469">
        <v>607</v>
      </c>
      <c r="E130" s="481">
        <v>278882.87</v>
      </c>
      <c r="F130" s="487" t="s">
        <v>655</v>
      </c>
      <c r="G130" s="245" t="s">
        <v>486</v>
      </c>
      <c r="H130" s="247"/>
      <c r="I130" s="212"/>
      <c r="J130" s="234"/>
      <c r="K130" s="234">
        <v>5077.52</v>
      </c>
      <c r="L130" s="234">
        <v>24792.12</v>
      </c>
      <c r="M130" s="234">
        <v>24792.12</v>
      </c>
      <c r="N130" s="234">
        <v>24792.12</v>
      </c>
      <c r="O130" s="234">
        <v>24792.12</v>
      </c>
      <c r="P130" s="234">
        <v>24792.12</v>
      </c>
      <c r="Q130" s="234">
        <v>24792.12</v>
      </c>
      <c r="R130" s="234">
        <v>24792.12</v>
      </c>
      <c r="S130" s="234">
        <v>24792.12</v>
      </c>
      <c r="T130" s="234">
        <v>18565.62</v>
      </c>
      <c r="U130" s="234"/>
      <c r="V130" s="234"/>
      <c r="W130" s="234"/>
      <c r="X130" s="234"/>
      <c r="Y130" s="213">
        <f aca="true" t="shared" si="3" ref="Y130:Y183">SUM(J130:X130)</f>
        <v>221980.09999999998</v>
      </c>
    </row>
    <row r="131" spans="1:25" s="214" customFormat="1" ht="12.75">
      <c r="A131" s="468"/>
      <c r="B131" s="215" t="s">
        <v>656</v>
      </c>
      <c r="C131" s="470"/>
      <c r="D131" s="470"/>
      <c r="E131" s="482"/>
      <c r="F131" s="488"/>
      <c r="G131" s="217">
        <v>0.0035</v>
      </c>
      <c r="H131" s="238">
        <v>1225.06</v>
      </c>
      <c r="I131" s="219">
        <v>1082.89</v>
      </c>
      <c r="J131" s="365">
        <v>880</v>
      </c>
      <c r="K131" s="365">
        <v>1130</v>
      </c>
      <c r="L131" s="365">
        <v>1080</v>
      </c>
      <c r="M131" s="365">
        <v>955</v>
      </c>
      <c r="N131" s="365">
        <v>835</v>
      </c>
      <c r="O131" s="365">
        <v>705</v>
      </c>
      <c r="P131" s="365">
        <v>580</v>
      </c>
      <c r="Q131" s="365">
        <v>455</v>
      </c>
      <c r="R131" s="365">
        <v>330</v>
      </c>
      <c r="S131" s="365">
        <v>200</v>
      </c>
      <c r="T131" s="365">
        <v>75</v>
      </c>
      <c r="U131" s="364"/>
      <c r="V131" s="364"/>
      <c r="W131" s="364"/>
      <c r="X131" s="364"/>
      <c r="Y131" s="220">
        <f t="shared" si="3"/>
        <v>7225</v>
      </c>
    </row>
    <row r="132" spans="1:25" s="214" customFormat="1" ht="12.75" customHeight="1">
      <c r="A132" s="473">
        <v>63</v>
      </c>
      <c r="B132" s="221" t="s">
        <v>489</v>
      </c>
      <c r="C132" s="491" t="s">
        <v>657</v>
      </c>
      <c r="D132" s="477">
        <v>606</v>
      </c>
      <c r="E132" s="483">
        <v>2517985.67</v>
      </c>
      <c r="F132" s="489" t="s">
        <v>658</v>
      </c>
      <c r="G132" s="246" t="s">
        <v>486</v>
      </c>
      <c r="H132" s="248">
        <v>471548.43</v>
      </c>
      <c r="I132" s="226"/>
      <c r="J132" s="225"/>
      <c r="K132" s="225"/>
      <c r="L132" s="225"/>
      <c r="M132" s="225">
        <v>103995.57</v>
      </c>
      <c r="N132" s="225">
        <v>287772</v>
      </c>
      <c r="O132" s="225">
        <v>287772</v>
      </c>
      <c r="P132" s="225">
        <v>287772</v>
      </c>
      <c r="Q132" s="225">
        <v>287772</v>
      </c>
      <c r="R132" s="225">
        <v>287772</v>
      </c>
      <c r="S132" s="225">
        <v>287772</v>
      </c>
      <c r="T132" s="225">
        <v>215809.66</v>
      </c>
      <c r="U132" s="225"/>
      <c r="V132" s="225"/>
      <c r="W132" s="225"/>
      <c r="X132" s="225"/>
      <c r="Y132" s="227">
        <f t="shared" si="3"/>
        <v>2046437.23</v>
      </c>
    </row>
    <row r="133" spans="1:25" s="214" customFormat="1" ht="12.75">
      <c r="A133" s="474"/>
      <c r="B133" s="228" t="s">
        <v>659</v>
      </c>
      <c r="C133" s="492"/>
      <c r="D133" s="478"/>
      <c r="E133" s="484"/>
      <c r="F133" s="490"/>
      <c r="G133" s="230">
        <v>0.00405</v>
      </c>
      <c r="H133" s="231">
        <v>12472.63</v>
      </c>
      <c r="I133" s="232">
        <v>7648.11</v>
      </c>
      <c r="J133" s="371">
        <v>8925</v>
      </c>
      <c r="K133" s="371">
        <v>10375</v>
      </c>
      <c r="L133" s="371">
        <v>10375</v>
      </c>
      <c r="M133" s="371">
        <v>1070</v>
      </c>
      <c r="N133" s="371">
        <v>9650</v>
      </c>
      <c r="O133" s="371">
        <v>8165</v>
      </c>
      <c r="P133" s="371">
        <v>6705</v>
      </c>
      <c r="Q133" s="371">
        <v>5250</v>
      </c>
      <c r="R133" s="371">
        <v>3800</v>
      </c>
      <c r="S133" s="371">
        <v>2330</v>
      </c>
      <c r="T133" s="371">
        <v>870</v>
      </c>
      <c r="U133" s="374"/>
      <c r="V133" s="374"/>
      <c r="W133" s="374"/>
      <c r="X133" s="374"/>
      <c r="Y133" s="233">
        <f t="shared" si="3"/>
        <v>67515</v>
      </c>
    </row>
    <row r="134" spans="1:25" s="214" customFormat="1" ht="12.75" customHeight="1">
      <c r="A134" s="467">
        <v>64</v>
      </c>
      <c r="B134" s="207" t="s">
        <v>489</v>
      </c>
      <c r="C134" s="491" t="s">
        <v>660</v>
      </c>
      <c r="D134" s="469">
        <v>610</v>
      </c>
      <c r="E134" s="481">
        <v>115821.77</v>
      </c>
      <c r="F134" s="487" t="s">
        <v>661</v>
      </c>
      <c r="G134" s="245" t="s">
        <v>486</v>
      </c>
      <c r="H134" s="210">
        <v>5896.39</v>
      </c>
      <c r="I134" s="234">
        <v>5941.92</v>
      </c>
      <c r="J134" s="234">
        <v>5941.92</v>
      </c>
      <c r="K134" s="234">
        <v>5941.92</v>
      </c>
      <c r="L134" s="234">
        <v>5941.92</v>
      </c>
      <c r="M134" s="234">
        <v>5941.92</v>
      </c>
      <c r="N134" s="234">
        <v>5941.92</v>
      </c>
      <c r="O134" s="234">
        <v>5941.92</v>
      </c>
      <c r="P134" s="234">
        <v>5941.92</v>
      </c>
      <c r="Q134" s="234">
        <v>5941.92</v>
      </c>
      <c r="R134" s="234">
        <v>5941.92</v>
      </c>
      <c r="S134" s="234">
        <v>5941.92</v>
      </c>
      <c r="T134" s="234">
        <v>5941.92</v>
      </c>
      <c r="U134" s="234">
        <v>5941.92</v>
      </c>
      <c r="V134" s="234">
        <v>5941.92</v>
      </c>
      <c r="W134" s="234">
        <v>5941.92</v>
      </c>
      <c r="X134" s="234">
        <v>20796.58</v>
      </c>
      <c r="Y134" s="213">
        <f t="shared" si="3"/>
        <v>103983.45999999999</v>
      </c>
    </row>
    <row r="135" spans="1:25" s="214" customFormat="1" ht="12.75">
      <c r="A135" s="468"/>
      <c r="B135" s="215" t="s">
        <v>662</v>
      </c>
      <c r="C135" s="492"/>
      <c r="D135" s="470"/>
      <c r="E135" s="482"/>
      <c r="F135" s="488"/>
      <c r="G135" s="217">
        <v>0.00312</v>
      </c>
      <c r="H135" s="238">
        <v>669.01</v>
      </c>
      <c r="I135" s="219">
        <v>556.39</v>
      </c>
      <c r="J135" s="365">
        <v>425</v>
      </c>
      <c r="K135" s="365">
        <v>500</v>
      </c>
      <c r="L135" s="365">
        <v>465</v>
      </c>
      <c r="M135" s="365">
        <v>435</v>
      </c>
      <c r="N135" s="365">
        <v>405</v>
      </c>
      <c r="O135" s="365">
        <v>375</v>
      </c>
      <c r="P135" s="365">
        <v>345</v>
      </c>
      <c r="Q135" s="365">
        <v>315</v>
      </c>
      <c r="R135" s="365">
        <v>285</v>
      </c>
      <c r="S135" s="365">
        <v>255</v>
      </c>
      <c r="T135" s="365">
        <v>225</v>
      </c>
      <c r="U135" s="365">
        <v>195</v>
      </c>
      <c r="V135" s="365">
        <v>165</v>
      </c>
      <c r="W135" s="365">
        <v>135</v>
      </c>
      <c r="X135" s="365">
        <v>225</v>
      </c>
      <c r="Y135" s="220">
        <f t="shared" si="3"/>
        <v>4750</v>
      </c>
    </row>
    <row r="136" spans="1:25" s="214" customFormat="1" ht="12.75" customHeight="1">
      <c r="A136" s="473">
        <v>65</v>
      </c>
      <c r="B136" s="221" t="s">
        <v>489</v>
      </c>
      <c r="C136" s="491" t="s">
        <v>663</v>
      </c>
      <c r="D136" s="477">
        <v>611</v>
      </c>
      <c r="E136" s="483">
        <v>202299.65</v>
      </c>
      <c r="F136" s="489" t="s">
        <v>664</v>
      </c>
      <c r="G136" s="246" t="s">
        <v>486</v>
      </c>
      <c r="H136" s="248">
        <v>43331.68</v>
      </c>
      <c r="I136" s="226"/>
      <c r="J136" s="225"/>
      <c r="K136" s="225"/>
      <c r="L136" s="225"/>
      <c r="M136" s="225"/>
      <c r="N136" s="225"/>
      <c r="O136" s="225"/>
      <c r="P136" s="225"/>
      <c r="Q136" s="225"/>
      <c r="R136" s="225">
        <v>2615.28</v>
      </c>
      <c r="S136" s="225">
        <v>11400.04</v>
      </c>
      <c r="T136" s="225">
        <v>11400.04</v>
      </c>
      <c r="U136" s="225">
        <v>11400.04</v>
      </c>
      <c r="V136" s="225">
        <v>11400.04</v>
      </c>
      <c r="W136" s="225">
        <v>11400.04</v>
      </c>
      <c r="X136" s="225">
        <v>42750.26</v>
      </c>
      <c r="Y136" s="227">
        <f t="shared" si="3"/>
        <v>102365.74</v>
      </c>
    </row>
    <row r="137" spans="1:25" s="214" customFormat="1" ht="12.75">
      <c r="A137" s="474"/>
      <c r="B137" s="228" t="s">
        <v>665</v>
      </c>
      <c r="C137" s="492"/>
      <c r="D137" s="478"/>
      <c r="E137" s="484"/>
      <c r="F137" s="490"/>
      <c r="G137" s="230">
        <v>0.00349</v>
      </c>
      <c r="H137" s="231">
        <v>725.65</v>
      </c>
      <c r="I137" s="232">
        <v>433.58</v>
      </c>
      <c r="J137" s="371">
        <v>405</v>
      </c>
      <c r="K137" s="371">
        <v>520</v>
      </c>
      <c r="L137" s="371">
        <v>520</v>
      </c>
      <c r="M137" s="371">
        <v>520</v>
      </c>
      <c r="N137" s="371">
        <v>520</v>
      </c>
      <c r="O137" s="371">
        <v>520</v>
      </c>
      <c r="P137" s="371">
        <v>520</v>
      </c>
      <c r="Q137" s="371">
        <v>520</v>
      </c>
      <c r="R137" s="371">
        <v>520</v>
      </c>
      <c r="S137" s="371">
        <v>500</v>
      </c>
      <c r="T137" s="371">
        <v>440</v>
      </c>
      <c r="U137" s="371">
        <v>385</v>
      </c>
      <c r="V137" s="371">
        <v>325</v>
      </c>
      <c r="W137" s="371">
        <v>270</v>
      </c>
      <c r="X137" s="371">
        <v>485</v>
      </c>
      <c r="Y137" s="233">
        <f t="shared" si="3"/>
        <v>6970</v>
      </c>
    </row>
    <row r="138" spans="1:25" s="214" customFormat="1" ht="12.75" customHeight="1">
      <c r="A138" s="467">
        <v>66</v>
      </c>
      <c r="B138" s="207" t="s">
        <v>489</v>
      </c>
      <c r="C138" s="469" t="s">
        <v>666</v>
      </c>
      <c r="D138" s="469">
        <v>612</v>
      </c>
      <c r="E138" s="481">
        <v>836018.63</v>
      </c>
      <c r="F138" s="487" t="s">
        <v>667</v>
      </c>
      <c r="G138" s="245" t="s">
        <v>486</v>
      </c>
      <c r="H138" s="247">
        <f>375745.97+11679.6</f>
        <v>387425.56999999995</v>
      </c>
      <c r="I138" s="212">
        <f>3435.52+475.88</f>
        <v>3911.4</v>
      </c>
      <c r="J138" s="234">
        <v>9047.66</v>
      </c>
      <c r="K138" s="234">
        <v>26008</v>
      </c>
      <c r="L138" s="234">
        <v>26008</v>
      </c>
      <c r="M138" s="234">
        <v>26008</v>
      </c>
      <c r="N138" s="234">
        <v>26008</v>
      </c>
      <c r="O138" s="234">
        <v>26008</v>
      </c>
      <c r="P138" s="234">
        <v>26008</v>
      </c>
      <c r="Q138" s="234">
        <v>26008</v>
      </c>
      <c r="R138" s="234">
        <v>26008</v>
      </c>
      <c r="S138" s="234">
        <v>26008</v>
      </c>
      <c r="T138" s="234">
        <v>26008</v>
      </c>
      <c r="U138" s="234">
        <v>26008</v>
      </c>
      <c r="V138" s="234">
        <v>26008</v>
      </c>
      <c r="W138" s="234">
        <v>26008</v>
      </c>
      <c r="X138" s="234">
        <v>97530</v>
      </c>
      <c r="Y138" s="213">
        <f t="shared" si="3"/>
        <v>444681.66000000003</v>
      </c>
    </row>
    <row r="139" spans="1:25" s="214" customFormat="1" ht="12.75">
      <c r="A139" s="468"/>
      <c r="B139" s="215" t="s">
        <v>668</v>
      </c>
      <c r="C139" s="470"/>
      <c r="D139" s="470"/>
      <c r="E139" s="482"/>
      <c r="F139" s="488"/>
      <c r="G139" s="217">
        <v>0.00295</v>
      </c>
      <c r="H139" s="238">
        <v>2700.61</v>
      </c>
      <c r="I139" s="219">
        <v>1742.45</v>
      </c>
      <c r="J139" s="365">
        <v>1570</v>
      </c>
      <c r="K139" s="365">
        <v>2190</v>
      </c>
      <c r="L139" s="365">
        <v>2055</v>
      </c>
      <c r="M139" s="365">
        <v>1925</v>
      </c>
      <c r="N139" s="365">
        <v>1800</v>
      </c>
      <c r="O139" s="365">
        <v>1660</v>
      </c>
      <c r="P139" s="365">
        <v>1530</v>
      </c>
      <c r="Q139" s="365">
        <v>1400</v>
      </c>
      <c r="R139" s="365">
        <v>1270</v>
      </c>
      <c r="S139" s="365">
        <v>1135</v>
      </c>
      <c r="T139" s="365">
        <v>1000</v>
      </c>
      <c r="U139" s="365">
        <v>870</v>
      </c>
      <c r="V139" s="365">
        <v>740</v>
      </c>
      <c r="W139" s="365">
        <v>610</v>
      </c>
      <c r="X139" s="365">
        <v>1110</v>
      </c>
      <c r="Y139" s="220">
        <f t="shared" si="3"/>
        <v>20865</v>
      </c>
    </row>
    <row r="140" spans="1:25" s="214" customFormat="1" ht="12.75" customHeight="1">
      <c r="A140" s="473">
        <v>67</v>
      </c>
      <c r="B140" s="221" t="s">
        <v>489</v>
      </c>
      <c r="C140" s="477" t="s">
        <v>669</v>
      </c>
      <c r="D140" s="477">
        <v>613</v>
      </c>
      <c r="E140" s="483">
        <v>375727.8</v>
      </c>
      <c r="F140" s="489" t="s">
        <v>670</v>
      </c>
      <c r="G140" s="246" t="s">
        <v>486</v>
      </c>
      <c r="H140" s="248"/>
      <c r="I140" s="226"/>
      <c r="J140" s="225"/>
      <c r="K140" s="225"/>
      <c r="L140" s="225"/>
      <c r="M140" s="225"/>
      <c r="N140" s="225"/>
      <c r="O140" s="225">
        <v>8153.54</v>
      </c>
      <c r="P140" s="225">
        <v>21781.32</v>
      </c>
      <c r="Q140" s="225">
        <v>21781.32</v>
      </c>
      <c r="R140" s="225">
        <v>21781.32</v>
      </c>
      <c r="S140" s="225">
        <v>21781.32</v>
      </c>
      <c r="T140" s="225">
        <v>21781.32</v>
      </c>
      <c r="U140" s="225">
        <v>21781.32</v>
      </c>
      <c r="V140" s="225">
        <v>21781.32</v>
      </c>
      <c r="W140" s="225">
        <v>21781.32</v>
      </c>
      <c r="X140" s="225">
        <v>81679.97</v>
      </c>
      <c r="Y140" s="227">
        <f t="shared" si="3"/>
        <v>264084.07000000007</v>
      </c>
    </row>
    <row r="141" spans="1:25" s="214" customFormat="1" ht="12.75">
      <c r="A141" s="474"/>
      <c r="B141" s="228" t="s">
        <v>671</v>
      </c>
      <c r="C141" s="478"/>
      <c r="D141" s="478"/>
      <c r="E141" s="484"/>
      <c r="F141" s="490"/>
      <c r="G141" s="230">
        <v>0.00309</v>
      </c>
      <c r="H141" s="231">
        <v>1544.35</v>
      </c>
      <c r="I141" s="232">
        <v>1299.41</v>
      </c>
      <c r="J141" s="371">
        <v>960</v>
      </c>
      <c r="K141" s="371">
        <v>1340</v>
      </c>
      <c r="L141" s="371">
        <v>1340</v>
      </c>
      <c r="M141" s="371">
        <v>1340</v>
      </c>
      <c r="N141" s="371">
        <v>1345</v>
      </c>
      <c r="O141" s="371">
        <v>1340</v>
      </c>
      <c r="P141" s="371">
        <v>1285</v>
      </c>
      <c r="Q141" s="371">
        <v>1170</v>
      </c>
      <c r="R141" s="371">
        <v>1065</v>
      </c>
      <c r="S141" s="371">
        <v>950</v>
      </c>
      <c r="T141" s="371">
        <v>840</v>
      </c>
      <c r="U141" s="371">
        <v>730</v>
      </c>
      <c r="V141" s="371">
        <v>620</v>
      </c>
      <c r="W141" s="371">
        <v>510</v>
      </c>
      <c r="X141" s="371">
        <v>930</v>
      </c>
      <c r="Y141" s="233">
        <f t="shared" si="3"/>
        <v>15765</v>
      </c>
    </row>
    <row r="142" spans="1:25" s="214" customFormat="1" ht="12.75" customHeight="1">
      <c r="A142" s="467">
        <v>68</v>
      </c>
      <c r="B142" s="207" t="s">
        <v>489</v>
      </c>
      <c r="C142" s="469" t="s">
        <v>672</v>
      </c>
      <c r="D142" s="469">
        <v>614</v>
      </c>
      <c r="E142" s="481">
        <v>284574.36</v>
      </c>
      <c r="F142" s="487" t="s">
        <v>673</v>
      </c>
      <c r="G142" s="245" t="s">
        <v>486</v>
      </c>
      <c r="H142" s="247"/>
      <c r="I142" s="212"/>
      <c r="J142" s="234">
        <v>8205.71</v>
      </c>
      <c r="K142" s="234">
        <v>16499.64</v>
      </c>
      <c r="L142" s="234">
        <v>16499.64</v>
      </c>
      <c r="M142" s="234">
        <v>16499.64</v>
      </c>
      <c r="N142" s="234">
        <v>16499.64</v>
      </c>
      <c r="O142" s="234">
        <v>16499.64</v>
      </c>
      <c r="P142" s="234">
        <v>16499.64</v>
      </c>
      <c r="Q142" s="234">
        <v>16499.64</v>
      </c>
      <c r="R142" s="234">
        <v>16499.64</v>
      </c>
      <c r="S142" s="234">
        <v>16499.64</v>
      </c>
      <c r="T142" s="234">
        <v>16499.64</v>
      </c>
      <c r="U142" s="234">
        <v>16499.64</v>
      </c>
      <c r="V142" s="234">
        <v>16499.64</v>
      </c>
      <c r="W142" s="234">
        <v>16499.64</v>
      </c>
      <c r="X142" s="234">
        <v>61873.33</v>
      </c>
      <c r="Y142" s="213">
        <f t="shared" si="3"/>
        <v>284574.36000000004</v>
      </c>
    </row>
    <row r="143" spans="1:25" s="214" customFormat="1" ht="12.75">
      <c r="A143" s="468"/>
      <c r="B143" s="215" t="s">
        <v>674</v>
      </c>
      <c r="C143" s="470"/>
      <c r="D143" s="470"/>
      <c r="E143" s="482"/>
      <c r="F143" s="488"/>
      <c r="G143" s="217">
        <v>0.00309</v>
      </c>
      <c r="H143" s="238">
        <v>1562.25</v>
      </c>
      <c r="I143" s="219">
        <v>1401.76</v>
      </c>
      <c r="J143" s="365">
        <v>1035</v>
      </c>
      <c r="K143" s="365">
        <v>1390</v>
      </c>
      <c r="L143" s="365">
        <v>1305</v>
      </c>
      <c r="M143" s="365">
        <v>1225</v>
      </c>
      <c r="N143" s="365">
        <v>1140</v>
      </c>
      <c r="O143" s="365">
        <v>1055</v>
      </c>
      <c r="P143" s="365">
        <v>970</v>
      </c>
      <c r="Q143" s="365">
        <v>890</v>
      </c>
      <c r="R143" s="365">
        <v>805</v>
      </c>
      <c r="S143" s="365">
        <v>720</v>
      </c>
      <c r="T143" s="365">
        <v>635</v>
      </c>
      <c r="U143" s="365">
        <v>555</v>
      </c>
      <c r="V143" s="365">
        <v>470</v>
      </c>
      <c r="W143" s="365">
        <v>385</v>
      </c>
      <c r="X143" s="365">
        <v>705</v>
      </c>
      <c r="Y143" s="220">
        <f t="shared" si="3"/>
        <v>13285</v>
      </c>
    </row>
    <row r="144" spans="1:25" s="214" customFormat="1" ht="12.75" customHeight="1">
      <c r="A144" s="473">
        <v>69</v>
      </c>
      <c r="B144" s="221" t="s">
        <v>489</v>
      </c>
      <c r="C144" s="477" t="s">
        <v>675</v>
      </c>
      <c r="D144" s="477">
        <v>615</v>
      </c>
      <c r="E144" s="483">
        <v>2912955.52</v>
      </c>
      <c r="F144" s="489" t="s">
        <v>676</v>
      </c>
      <c r="G144" s="246" t="s">
        <v>486</v>
      </c>
      <c r="H144" s="248">
        <v>679837.1</v>
      </c>
      <c r="I144" s="226">
        <v>585147.39</v>
      </c>
      <c r="J144" s="375">
        <v>1520.97</v>
      </c>
      <c r="K144" s="376">
        <v>62000</v>
      </c>
      <c r="L144" s="376">
        <v>20000</v>
      </c>
      <c r="M144" s="376">
        <v>20000</v>
      </c>
      <c r="N144" s="376">
        <v>100000</v>
      </c>
      <c r="O144" s="376">
        <v>20000</v>
      </c>
      <c r="P144" s="376">
        <v>117840</v>
      </c>
      <c r="Q144" s="376">
        <v>117840</v>
      </c>
      <c r="R144" s="376">
        <v>117840</v>
      </c>
      <c r="S144" s="376">
        <v>117840</v>
      </c>
      <c r="T144" s="376">
        <v>117840</v>
      </c>
      <c r="U144" s="376">
        <v>117840</v>
      </c>
      <c r="V144" s="376">
        <v>117840</v>
      </c>
      <c r="W144" s="376">
        <v>117840</v>
      </c>
      <c r="X144" s="376">
        <v>471200.82</v>
      </c>
      <c r="Y144" s="227">
        <f t="shared" si="3"/>
        <v>1637441.79</v>
      </c>
    </row>
    <row r="145" spans="1:25" s="214" customFormat="1" ht="12.75">
      <c r="A145" s="474"/>
      <c r="B145" s="228" t="s">
        <v>677</v>
      </c>
      <c r="C145" s="478"/>
      <c r="D145" s="478"/>
      <c r="E145" s="484"/>
      <c r="F145" s="490"/>
      <c r="G145" s="230">
        <v>0.00369</v>
      </c>
      <c r="H145" s="231">
        <v>3443.32</v>
      </c>
      <c r="I145" s="232">
        <v>7226.22</v>
      </c>
      <c r="J145" s="376">
        <v>6520</v>
      </c>
      <c r="K145" s="376">
        <v>8215</v>
      </c>
      <c r="L145" s="376">
        <v>7960</v>
      </c>
      <c r="M145" s="376">
        <v>7850</v>
      </c>
      <c r="N145" s="376">
        <v>7680</v>
      </c>
      <c r="O145" s="376">
        <v>7260</v>
      </c>
      <c r="P145" s="376">
        <v>7040</v>
      </c>
      <c r="Q145" s="376">
        <v>6510</v>
      </c>
      <c r="R145" s="376">
        <v>5970</v>
      </c>
      <c r="S145" s="376">
        <v>5375</v>
      </c>
      <c r="T145" s="376">
        <v>4800</v>
      </c>
      <c r="U145" s="376">
        <v>4220</v>
      </c>
      <c r="V145" s="376">
        <v>3620</v>
      </c>
      <c r="W145" s="376">
        <v>3005</v>
      </c>
      <c r="X145" s="376">
        <v>5640</v>
      </c>
      <c r="Y145" s="233">
        <f t="shared" si="3"/>
        <v>91665</v>
      </c>
    </row>
    <row r="146" spans="1:25" s="214" customFormat="1" ht="12.75" customHeight="1">
      <c r="A146" s="467">
        <v>70</v>
      </c>
      <c r="B146" s="207" t="s">
        <v>489</v>
      </c>
      <c r="C146" s="469" t="s">
        <v>678</v>
      </c>
      <c r="D146" s="469">
        <v>616</v>
      </c>
      <c r="E146" s="481">
        <v>1166021.49</v>
      </c>
      <c r="F146" s="487" t="s">
        <v>679</v>
      </c>
      <c r="G146" s="245" t="s">
        <v>486</v>
      </c>
      <c r="H146" s="247"/>
      <c r="I146" s="212"/>
      <c r="J146" s="234">
        <v>32834.49</v>
      </c>
      <c r="K146" s="234">
        <v>65692</v>
      </c>
      <c r="L146" s="234">
        <v>65692</v>
      </c>
      <c r="M146" s="234">
        <v>65692</v>
      </c>
      <c r="N146" s="234">
        <v>65692</v>
      </c>
      <c r="O146" s="234">
        <v>65692</v>
      </c>
      <c r="P146" s="234">
        <v>65692</v>
      </c>
      <c r="Q146" s="234">
        <v>65692</v>
      </c>
      <c r="R146" s="234">
        <v>65692</v>
      </c>
      <c r="S146" s="234">
        <v>65692</v>
      </c>
      <c r="T146" s="234">
        <v>65692</v>
      </c>
      <c r="U146" s="234">
        <v>65692</v>
      </c>
      <c r="V146" s="234">
        <v>65692</v>
      </c>
      <c r="W146" s="234">
        <v>65692</v>
      </c>
      <c r="X146" s="234">
        <v>279191</v>
      </c>
      <c r="Y146" s="213">
        <f t="shared" si="3"/>
        <v>1166021.49</v>
      </c>
    </row>
    <row r="147" spans="1:25" s="214" customFormat="1" ht="12.75">
      <c r="A147" s="468"/>
      <c r="B147" s="215" t="s">
        <v>680</v>
      </c>
      <c r="C147" s="470"/>
      <c r="D147" s="470"/>
      <c r="E147" s="482"/>
      <c r="F147" s="488"/>
      <c r="G147" s="217">
        <v>0.00351</v>
      </c>
      <c r="H147" s="238">
        <v>1476.19</v>
      </c>
      <c r="I147" s="219">
        <v>5436.69</v>
      </c>
      <c r="J147" s="365">
        <v>4495</v>
      </c>
      <c r="K147" s="365">
        <v>5260</v>
      </c>
      <c r="L147" s="365">
        <v>5360</v>
      </c>
      <c r="M147" s="365">
        <v>5030</v>
      </c>
      <c r="N147" s="365">
        <v>4710</v>
      </c>
      <c r="O147" s="365">
        <v>4365</v>
      </c>
      <c r="P147" s="365">
        <v>4030</v>
      </c>
      <c r="Q147" s="365">
        <v>3695</v>
      </c>
      <c r="R147" s="365">
        <v>3375</v>
      </c>
      <c r="S147" s="365">
        <v>3030</v>
      </c>
      <c r="T147" s="365">
        <v>2700</v>
      </c>
      <c r="U147" s="365">
        <v>2365</v>
      </c>
      <c r="V147" s="365">
        <v>2040</v>
      </c>
      <c r="W147" s="365">
        <v>1700</v>
      </c>
      <c r="X147" s="365">
        <v>3520</v>
      </c>
      <c r="Y147" s="220">
        <f t="shared" si="3"/>
        <v>55675</v>
      </c>
    </row>
    <row r="148" spans="1:25" s="249" customFormat="1" ht="12.75" customHeight="1">
      <c r="A148" s="467">
        <v>71</v>
      </c>
      <c r="B148" s="333" t="s">
        <v>489</v>
      </c>
      <c r="C148" s="493" t="s">
        <v>681</v>
      </c>
      <c r="D148" s="469">
        <v>617</v>
      </c>
      <c r="E148" s="481">
        <v>828989.55</v>
      </c>
      <c r="F148" s="495" t="s">
        <v>682</v>
      </c>
      <c r="G148" s="245" t="s">
        <v>486</v>
      </c>
      <c r="H148" s="247">
        <f>453227.01+199793.64+0.35</f>
        <v>653021</v>
      </c>
      <c r="I148" s="212">
        <v>8268.02</v>
      </c>
      <c r="J148" s="234"/>
      <c r="K148" s="234">
        <v>1885.53</v>
      </c>
      <c r="L148" s="234">
        <v>10204</v>
      </c>
      <c r="M148" s="234">
        <v>10204</v>
      </c>
      <c r="N148" s="234">
        <v>10204</v>
      </c>
      <c r="O148" s="234">
        <v>10204</v>
      </c>
      <c r="P148" s="234">
        <v>10204</v>
      </c>
      <c r="Q148" s="234">
        <v>10204</v>
      </c>
      <c r="R148" s="234">
        <v>10204</v>
      </c>
      <c r="S148" s="234">
        <v>10204</v>
      </c>
      <c r="T148" s="234">
        <v>10204</v>
      </c>
      <c r="U148" s="234">
        <v>10204</v>
      </c>
      <c r="V148" s="234">
        <v>10204</v>
      </c>
      <c r="W148" s="234">
        <v>10204</v>
      </c>
      <c r="X148" s="234">
        <v>43367</v>
      </c>
      <c r="Y148" s="213">
        <f t="shared" si="3"/>
        <v>167700.53</v>
      </c>
    </row>
    <row r="149" spans="1:25" s="249" customFormat="1" ht="12.75">
      <c r="A149" s="468"/>
      <c r="B149" s="335" t="s">
        <v>683</v>
      </c>
      <c r="C149" s="494"/>
      <c r="D149" s="470"/>
      <c r="E149" s="482"/>
      <c r="F149" s="496"/>
      <c r="G149" s="217">
        <v>0.0032</v>
      </c>
      <c r="H149" s="238">
        <v>493.4</v>
      </c>
      <c r="I149" s="219">
        <v>718.61</v>
      </c>
      <c r="J149" s="365">
        <v>780</v>
      </c>
      <c r="K149" s="365">
        <v>850</v>
      </c>
      <c r="L149" s="365">
        <v>835</v>
      </c>
      <c r="M149" s="365">
        <v>785</v>
      </c>
      <c r="N149" s="365">
        <v>735</v>
      </c>
      <c r="O149" s="365">
        <v>680</v>
      </c>
      <c r="P149" s="365">
        <v>630</v>
      </c>
      <c r="Q149" s="365">
        <v>575</v>
      </c>
      <c r="R149" s="365">
        <v>525</v>
      </c>
      <c r="S149" s="365">
        <v>475</v>
      </c>
      <c r="T149" s="365">
        <v>420</v>
      </c>
      <c r="U149" s="365">
        <v>370</v>
      </c>
      <c r="V149" s="365">
        <v>320</v>
      </c>
      <c r="W149" s="365">
        <v>265</v>
      </c>
      <c r="X149" s="365">
        <v>550</v>
      </c>
      <c r="Y149" s="220">
        <f t="shared" si="3"/>
        <v>8795</v>
      </c>
    </row>
    <row r="150" spans="1:25" s="249" customFormat="1" ht="12.75" customHeight="1">
      <c r="A150" s="467">
        <v>72</v>
      </c>
      <c r="B150" s="207" t="s">
        <v>489</v>
      </c>
      <c r="C150" s="493" t="s">
        <v>684</v>
      </c>
      <c r="D150" s="469">
        <v>618</v>
      </c>
      <c r="E150" s="481">
        <v>1579220.53</v>
      </c>
      <c r="F150" s="495" t="s">
        <v>685</v>
      </c>
      <c r="G150" s="245" t="s">
        <v>486</v>
      </c>
      <c r="H150" s="250">
        <f>154159.65+340961.91</f>
        <v>495121.55999999994</v>
      </c>
      <c r="I150" s="251">
        <v>471570.91</v>
      </c>
      <c r="J150" s="377"/>
      <c r="K150" s="211"/>
      <c r="L150" s="211"/>
      <c r="M150" s="211"/>
      <c r="N150" s="211"/>
      <c r="O150" s="211"/>
      <c r="P150" s="211"/>
      <c r="Q150" s="211"/>
      <c r="R150" s="211">
        <v>31184.06</v>
      </c>
      <c r="S150" s="211">
        <v>62848</v>
      </c>
      <c r="T150" s="211">
        <v>62848</v>
      </c>
      <c r="U150" s="211">
        <v>62848</v>
      </c>
      <c r="V150" s="211">
        <v>62848</v>
      </c>
      <c r="W150" s="211">
        <v>62848</v>
      </c>
      <c r="X150" s="211">
        <v>267104</v>
      </c>
      <c r="Y150" s="213">
        <f t="shared" si="3"/>
        <v>612528.06</v>
      </c>
    </row>
    <row r="151" spans="1:25" s="249" customFormat="1" ht="12.75">
      <c r="A151" s="468"/>
      <c r="B151" s="215" t="s">
        <v>686</v>
      </c>
      <c r="C151" s="494"/>
      <c r="D151" s="470"/>
      <c r="E151" s="482"/>
      <c r="F151" s="496"/>
      <c r="G151" s="217">
        <v>0.00322</v>
      </c>
      <c r="H151" s="252">
        <v>1114.44</v>
      </c>
      <c r="I151" s="253">
        <v>4996.79</v>
      </c>
      <c r="J151" s="378">
        <v>2905</v>
      </c>
      <c r="K151" s="378">
        <v>3110</v>
      </c>
      <c r="L151" s="378">
        <v>3110</v>
      </c>
      <c r="M151" s="378">
        <v>3110</v>
      </c>
      <c r="N151" s="378">
        <v>3115</v>
      </c>
      <c r="O151" s="378">
        <v>3110</v>
      </c>
      <c r="P151" s="378">
        <v>3110</v>
      </c>
      <c r="Q151" s="378">
        <v>3110</v>
      </c>
      <c r="R151" s="378">
        <v>3115</v>
      </c>
      <c r="S151" s="378">
        <v>2900</v>
      </c>
      <c r="T151" s="378">
        <v>2585</v>
      </c>
      <c r="U151" s="378">
        <v>2265</v>
      </c>
      <c r="V151" s="378">
        <v>1950</v>
      </c>
      <c r="W151" s="378">
        <v>1625</v>
      </c>
      <c r="X151" s="378">
        <v>3370</v>
      </c>
      <c r="Y151" s="220">
        <f t="shared" si="3"/>
        <v>42490</v>
      </c>
    </row>
    <row r="152" spans="1:25" s="249" customFormat="1" ht="12.75" customHeight="1">
      <c r="A152" s="467">
        <v>73</v>
      </c>
      <c r="B152" s="207" t="s">
        <v>489</v>
      </c>
      <c r="C152" s="493" t="s">
        <v>687</v>
      </c>
      <c r="D152" s="469">
        <v>619</v>
      </c>
      <c r="E152" s="481">
        <v>459602.93</v>
      </c>
      <c r="F152" s="495" t="s">
        <v>688</v>
      </c>
      <c r="G152" s="245" t="s">
        <v>486</v>
      </c>
      <c r="H152" s="250">
        <v>10069.8</v>
      </c>
      <c r="I152" s="251">
        <v>203957.69</v>
      </c>
      <c r="J152" s="377"/>
      <c r="K152" s="211"/>
      <c r="L152" s="211"/>
      <c r="M152" s="211"/>
      <c r="N152" s="211"/>
      <c r="O152" s="211"/>
      <c r="P152" s="211"/>
      <c r="Q152" s="211"/>
      <c r="R152" s="211"/>
      <c r="S152" s="211">
        <v>22331.44</v>
      </c>
      <c r="T152" s="211">
        <v>26264</v>
      </c>
      <c r="U152" s="211">
        <v>26264</v>
      </c>
      <c r="V152" s="211">
        <v>26264</v>
      </c>
      <c r="W152" s="211">
        <v>26264</v>
      </c>
      <c r="X152" s="211">
        <v>118188</v>
      </c>
      <c r="Y152" s="213">
        <f t="shared" si="3"/>
        <v>245575.44</v>
      </c>
    </row>
    <row r="153" spans="1:25" s="249" customFormat="1" ht="12.75">
      <c r="A153" s="468"/>
      <c r="B153" s="215" t="s">
        <v>689</v>
      </c>
      <c r="C153" s="494"/>
      <c r="D153" s="470"/>
      <c r="E153" s="482"/>
      <c r="F153" s="496"/>
      <c r="G153" s="217">
        <v>0.00325</v>
      </c>
      <c r="H153" s="252">
        <v>533.58</v>
      </c>
      <c r="I153" s="253">
        <v>2100.2</v>
      </c>
      <c r="J153" s="378">
        <v>1030</v>
      </c>
      <c r="K153" s="378">
        <v>1245</v>
      </c>
      <c r="L153" s="378">
        <v>1245</v>
      </c>
      <c r="M153" s="378">
        <v>1245</v>
      </c>
      <c r="N153" s="378">
        <v>1250</v>
      </c>
      <c r="O153" s="378">
        <v>1245</v>
      </c>
      <c r="P153" s="378">
        <v>1245</v>
      </c>
      <c r="Q153" s="378">
        <v>1245</v>
      </c>
      <c r="R153" s="378">
        <v>1250</v>
      </c>
      <c r="S153" s="378">
        <v>1230</v>
      </c>
      <c r="T153" s="378">
        <v>1115</v>
      </c>
      <c r="U153" s="378">
        <v>980</v>
      </c>
      <c r="V153" s="378">
        <v>850</v>
      </c>
      <c r="W153" s="378">
        <v>715</v>
      </c>
      <c r="X153" s="378">
        <v>1565</v>
      </c>
      <c r="Y153" s="220">
        <f t="shared" si="3"/>
        <v>17455</v>
      </c>
    </row>
    <row r="154" spans="1:25" s="249" customFormat="1" ht="12.75" customHeight="1">
      <c r="A154" s="467">
        <v>74</v>
      </c>
      <c r="B154" s="207" t="s">
        <v>489</v>
      </c>
      <c r="C154" s="493" t="s">
        <v>690</v>
      </c>
      <c r="D154" s="469">
        <v>621</v>
      </c>
      <c r="E154" s="481">
        <v>6547018.47</v>
      </c>
      <c r="F154" s="495" t="s">
        <v>691</v>
      </c>
      <c r="G154" s="245" t="s">
        <v>486</v>
      </c>
      <c r="H154" s="250">
        <v>1063426.25</v>
      </c>
      <c r="I154" s="251">
        <v>1098496.89</v>
      </c>
      <c r="J154" s="363">
        <v>446915.17</v>
      </c>
      <c r="K154" s="379">
        <v>180000.16</v>
      </c>
      <c r="L154" s="380">
        <v>100000</v>
      </c>
      <c r="M154" s="380">
        <v>100000</v>
      </c>
      <c r="N154" s="380">
        <v>200000</v>
      </c>
      <c r="O154" s="380">
        <v>200000</v>
      </c>
      <c r="P154" s="380">
        <v>252660</v>
      </c>
      <c r="Q154" s="380">
        <v>252660</v>
      </c>
      <c r="R154" s="380">
        <v>252660</v>
      </c>
      <c r="S154" s="380">
        <v>252660</v>
      </c>
      <c r="T154" s="380">
        <v>252660</v>
      </c>
      <c r="U154" s="380">
        <v>252660</v>
      </c>
      <c r="V154" s="380">
        <v>252660</v>
      </c>
      <c r="W154" s="380">
        <v>252660</v>
      </c>
      <c r="X154" s="380">
        <v>1136900</v>
      </c>
      <c r="Y154" s="213">
        <f t="shared" si="3"/>
        <v>4385095.33</v>
      </c>
    </row>
    <row r="155" spans="1:25" s="249" customFormat="1" ht="12.75">
      <c r="A155" s="468"/>
      <c r="B155" s="215" t="s">
        <v>692</v>
      </c>
      <c r="C155" s="494"/>
      <c r="D155" s="470"/>
      <c r="E155" s="482"/>
      <c r="F155" s="496"/>
      <c r="G155" s="217">
        <v>0.0033</v>
      </c>
      <c r="H155" s="252">
        <v>796.95</v>
      </c>
      <c r="I155" s="253">
        <v>15276.3</v>
      </c>
      <c r="J155" s="381">
        <v>18630</v>
      </c>
      <c r="K155" s="382">
        <v>19780</v>
      </c>
      <c r="L155" s="382">
        <v>19000</v>
      </c>
      <c r="M155" s="382">
        <v>18470</v>
      </c>
      <c r="N155" s="382">
        <v>17905</v>
      </c>
      <c r="O155" s="382">
        <v>16870</v>
      </c>
      <c r="P155" s="382">
        <v>15800</v>
      </c>
      <c r="Q155" s="382">
        <v>14535</v>
      </c>
      <c r="R155" s="382">
        <v>13290</v>
      </c>
      <c r="S155" s="382">
        <v>11975</v>
      </c>
      <c r="T155" s="382">
        <v>10690</v>
      </c>
      <c r="U155" s="382">
        <v>9410</v>
      </c>
      <c r="V155" s="382">
        <v>8155</v>
      </c>
      <c r="W155" s="382">
        <v>6850</v>
      </c>
      <c r="X155" s="382">
        <v>15045</v>
      </c>
      <c r="Y155" s="220">
        <f t="shared" si="3"/>
        <v>216405</v>
      </c>
    </row>
    <row r="156" spans="1:25" s="249" customFormat="1" ht="12.75" customHeight="1">
      <c r="A156" s="473">
        <v>75</v>
      </c>
      <c r="B156" s="221" t="s">
        <v>489</v>
      </c>
      <c r="C156" s="497" t="s">
        <v>693</v>
      </c>
      <c r="D156" s="477">
        <v>622</v>
      </c>
      <c r="E156" s="483">
        <v>561890</v>
      </c>
      <c r="F156" s="499" t="s">
        <v>694</v>
      </c>
      <c r="G156" s="246" t="s">
        <v>486</v>
      </c>
      <c r="H156" s="254"/>
      <c r="I156" s="255"/>
      <c r="J156" s="383"/>
      <c r="K156" s="383">
        <v>32108</v>
      </c>
      <c r="L156" s="383">
        <v>32108</v>
      </c>
      <c r="M156" s="383">
        <v>32108</v>
      </c>
      <c r="N156" s="383">
        <v>32108</v>
      </c>
      <c r="O156" s="383">
        <v>32108</v>
      </c>
      <c r="P156" s="383">
        <v>32108</v>
      </c>
      <c r="Q156" s="383">
        <v>32108</v>
      </c>
      <c r="R156" s="383">
        <v>32108</v>
      </c>
      <c r="S156" s="383">
        <v>32108</v>
      </c>
      <c r="T156" s="383">
        <v>32108</v>
      </c>
      <c r="U156" s="383">
        <v>32108</v>
      </c>
      <c r="V156" s="383">
        <v>32108</v>
      </c>
      <c r="W156" s="383">
        <v>32108</v>
      </c>
      <c r="X156" s="383">
        <v>144486</v>
      </c>
      <c r="Y156" s="227">
        <f t="shared" si="3"/>
        <v>561890</v>
      </c>
    </row>
    <row r="157" spans="1:25" s="249" customFormat="1" ht="12.75">
      <c r="A157" s="474"/>
      <c r="B157" s="228" t="s">
        <v>695</v>
      </c>
      <c r="C157" s="498"/>
      <c r="D157" s="478"/>
      <c r="E157" s="484"/>
      <c r="F157" s="500"/>
      <c r="G157" s="230">
        <v>0.00363</v>
      </c>
      <c r="H157" s="256">
        <v>185.39</v>
      </c>
      <c r="I157" s="257">
        <v>2194.13</v>
      </c>
      <c r="J157" s="384">
        <v>2275</v>
      </c>
      <c r="K157" s="384">
        <v>2815</v>
      </c>
      <c r="L157" s="384">
        <v>2665</v>
      </c>
      <c r="M157" s="384">
        <v>2500</v>
      </c>
      <c r="N157" s="384">
        <v>2345</v>
      </c>
      <c r="O157" s="384">
        <v>2175</v>
      </c>
      <c r="P157" s="384">
        <v>2010</v>
      </c>
      <c r="Q157" s="384">
        <v>1850</v>
      </c>
      <c r="R157" s="384">
        <v>1690</v>
      </c>
      <c r="S157" s="384">
        <v>1525</v>
      </c>
      <c r="T157" s="384">
        <v>1360</v>
      </c>
      <c r="U157" s="384">
        <v>1200</v>
      </c>
      <c r="V157" s="384">
        <v>1040</v>
      </c>
      <c r="W157" s="384">
        <v>875</v>
      </c>
      <c r="X157" s="384">
        <v>1915</v>
      </c>
      <c r="Y157" s="233">
        <f t="shared" si="3"/>
        <v>28240</v>
      </c>
    </row>
    <row r="158" spans="1:25" s="214" customFormat="1" ht="12.75" customHeight="1">
      <c r="A158" s="467">
        <v>76</v>
      </c>
      <c r="B158" s="207" t="s">
        <v>489</v>
      </c>
      <c r="C158" s="469" t="s">
        <v>696</v>
      </c>
      <c r="D158" s="469">
        <v>623</v>
      </c>
      <c r="E158" s="481">
        <v>483802.31</v>
      </c>
      <c r="F158" s="487" t="s">
        <v>697</v>
      </c>
      <c r="G158" s="245" t="s">
        <v>486</v>
      </c>
      <c r="H158" s="247"/>
      <c r="I158" s="212"/>
      <c r="J158" s="234"/>
      <c r="K158" s="234">
        <v>27197.31</v>
      </c>
      <c r="L158" s="234">
        <v>27260</v>
      </c>
      <c r="M158" s="234">
        <v>27260</v>
      </c>
      <c r="N158" s="234">
        <v>27260</v>
      </c>
      <c r="O158" s="234">
        <v>27260</v>
      </c>
      <c r="P158" s="234">
        <v>27260</v>
      </c>
      <c r="Q158" s="234">
        <v>27260</v>
      </c>
      <c r="R158" s="234">
        <v>27260</v>
      </c>
      <c r="S158" s="234">
        <v>27260</v>
      </c>
      <c r="T158" s="234">
        <v>27260</v>
      </c>
      <c r="U158" s="234">
        <v>27260</v>
      </c>
      <c r="V158" s="234">
        <v>27260</v>
      </c>
      <c r="W158" s="234">
        <v>27260</v>
      </c>
      <c r="X158" s="234">
        <v>129485</v>
      </c>
      <c r="Y158" s="213">
        <f t="shared" si="3"/>
        <v>483802.31</v>
      </c>
    </row>
    <row r="159" spans="1:25" s="214" customFormat="1" ht="12.75">
      <c r="A159" s="468"/>
      <c r="B159" s="215" t="s">
        <v>698</v>
      </c>
      <c r="C159" s="470"/>
      <c r="D159" s="470"/>
      <c r="E159" s="482"/>
      <c r="F159" s="488"/>
      <c r="G159" s="217">
        <v>0.00295</v>
      </c>
      <c r="H159" s="238">
        <v>7.62</v>
      </c>
      <c r="I159" s="219">
        <v>1618.33</v>
      </c>
      <c r="J159" s="365">
        <v>1705</v>
      </c>
      <c r="K159" s="365">
        <v>2425</v>
      </c>
      <c r="L159" s="365">
        <v>2295</v>
      </c>
      <c r="M159" s="365">
        <v>2155</v>
      </c>
      <c r="N159" s="365">
        <v>2025</v>
      </c>
      <c r="O159" s="365">
        <v>1880</v>
      </c>
      <c r="P159" s="365">
        <v>1745</v>
      </c>
      <c r="Q159" s="365">
        <v>1605</v>
      </c>
      <c r="R159" s="365">
        <v>1470</v>
      </c>
      <c r="S159" s="365">
        <v>1330</v>
      </c>
      <c r="T159" s="365">
        <v>1190</v>
      </c>
      <c r="U159" s="365">
        <v>1050</v>
      </c>
      <c r="V159" s="365">
        <v>915</v>
      </c>
      <c r="W159" s="365">
        <v>775</v>
      </c>
      <c r="X159" s="365">
        <v>1795</v>
      </c>
      <c r="Y159" s="220">
        <f t="shared" si="3"/>
        <v>24360</v>
      </c>
    </row>
    <row r="160" spans="1:25" s="214" customFormat="1" ht="12.75" customHeight="1">
      <c r="A160" s="467">
        <v>77</v>
      </c>
      <c r="B160" s="207" t="s">
        <v>489</v>
      </c>
      <c r="C160" s="469" t="s">
        <v>699</v>
      </c>
      <c r="D160" s="469" t="s">
        <v>700</v>
      </c>
      <c r="E160" s="481">
        <v>177632.15</v>
      </c>
      <c r="F160" s="487" t="s">
        <v>701</v>
      </c>
      <c r="G160" s="245" t="s">
        <v>486</v>
      </c>
      <c r="H160" s="247"/>
      <c r="I160" s="212"/>
      <c r="J160" s="234"/>
      <c r="K160" s="234">
        <v>9998.15</v>
      </c>
      <c r="L160" s="234">
        <v>10008</v>
      </c>
      <c r="M160" s="234">
        <v>10008</v>
      </c>
      <c r="N160" s="234">
        <v>10008</v>
      </c>
      <c r="O160" s="234">
        <v>10008</v>
      </c>
      <c r="P160" s="234">
        <v>10008</v>
      </c>
      <c r="Q160" s="234">
        <v>10008</v>
      </c>
      <c r="R160" s="234">
        <v>10008</v>
      </c>
      <c r="S160" s="234">
        <v>10008</v>
      </c>
      <c r="T160" s="234">
        <v>10008</v>
      </c>
      <c r="U160" s="234">
        <v>10008</v>
      </c>
      <c r="V160" s="234">
        <v>10008</v>
      </c>
      <c r="W160" s="234">
        <v>10008</v>
      </c>
      <c r="X160" s="234">
        <v>47538</v>
      </c>
      <c r="Y160" s="213">
        <f t="shared" si="3"/>
        <v>177632.15</v>
      </c>
    </row>
    <row r="161" spans="1:25" s="214" customFormat="1" ht="12.75">
      <c r="A161" s="468"/>
      <c r="B161" s="215" t="s">
        <v>702</v>
      </c>
      <c r="C161" s="470"/>
      <c r="D161" s="470"/>
      <c r="E161" s="482"/>
      <c r="F161" s="488"/>
      <c r="G161" s="217">
        <v>0.00295</v>
      </c>
      <c r="H161" s="238">
        <v>18.47</v>
      </c>
      <c r="I161" s="219">
        <v>690.02</v>
      </c>
      <c r="J161" s="365">
        <v>630</v>
      </c>
      <c r="K161" s="365">
        <v>890</v>
      </c>
      <c r="L161" s="365">
        <v>845</v>
      </c>
      <c r="M161" s="365">
        <v>795</v>
      </c>
      <c r="N161" s="365">
        <v>745</v>
      </c>
      <c r="O161" s="365">
        <v>690</v>
      </c>
      <c r="P161" s="365">
        <v>640</v>
      </c>
      <c r="Q161" s="365">
        <v>590</v>
      </c>
      <c r="R161" s="365">
        <v>540</v>
      </c>
      <c r="S161" s="365">
        <v>490</v>
      </c>
      <c r="T161" s="365">
        <v>440</v>
      </c>
      <c r="U161" s="365">
        <v>385</v>
      </c>
      <c r="V161" s="365">
        <v>340</v>
      </c>
      <c r="W161" s="365">
        <v>285</v>
      </c>
      <c r="X161" s="365">
        <v>660</v>
      </c>
      <c r="Y161" s="220">
        <f t="shared" si="3"/>
        <v>8965</v>
      </c>
    </row>
    <row r="162" spans="1:25" s="214" customFormat="1" ht="12.75" customHeight="1">
      <c r="A162" s="467">
        <v>78</v>
      </c>
      <c r="B162" s="207" t="s">
        <v>489</v>
      </c>
      <c r="C162" s="469" t="s">
        <v>703</v>
      </c>
      <c r="D162" s="469">
        <v>625</v>
      </c>
      <c r="E162" s="471">
        <v>219400</v>
      </c>
      <c r="F162" s="487" t="s">
        <v>704</v>
      </c>
      <c r="G162" s="245" t="s">
        <v>486</v>
      </c>
      <c r="H162" s="247">
        <v>0.29</v>
      </c>
      <c r="I162" s="212">
        <f>12903.69+154764.1</f>
        <v>167667.79</v>
      </c>
      <c r="J162" s="234">
        <v>51732.21</v>
      </c>
      <c r="K162" s="385"/>
      <c r="L162" s="385"/>
      <c r="M162" s="385"/>
      <c r="N162" s="385"/>
      <c r="O162" s="385"/>
      <c r="P162" s="385"/>
      <c r="Q162" s="385"/>
      <c r="R162" s="385"/>
      <c r="S162" s="385"/>
      <c r="T162" s="385"/>
      <c r="U162" s="385"/>
      <c r="V162" s="385"/>
      <c r="W162" s="385"/>
      <c r="X162" s="234"/>
      <c r="Y162" s="213">
        <f t="shared" si="3"/>
        <v>51732.21</v>
      </c>
    </row>
    <row r="163" spans="1:25" s="214" customFormat="1" ht="13.5" customHeight="1">
      <c r="A163" s="468"/>
      <c r="B163" s="215" t="s">
        <v>705</v>
      </c>
      <c r="C163" s="470"/>
      <c r="D163" s="470"/>
      <c r="E163" s="472"/>
      <c r="F163" s="488"/>
      <c r="G163" s="217">
        <v>0.0035</v>
      </c>
      <c r="H163" s="238">
        <v>1.49</v>
      </c>
      <c r="I163" s="219">
        <v>436.67</v>
      </c>
      <c r="J163" s="365">
        <v>90</v>
      </c>
      <c r="K163" s="365"/>
      <c r="L163" s="365"/>
      <c r="M163" s="365"/>
      <c r="N163" s="365"/>
      <c r="O163" s="365"/>
      <c r="P163" s="365"/>
      <c r="Q163" s="365"/>
      <c r="R163" s="365"/>
      <c r="S163" s="365"/>
      <c r="T163" s="365"/>
      <c r="U163" s="365"/>
      <c r="V163" s="365"/>
      <c r="W163" s="365"/>
      <c r="X163" s="365"/>
      <c r="Y163" s="220">
        <f t="shared" si="3"/>
        <v>90</v>
      </c>
    </row>
    <row r="164" spans="1:25" s="214" customFormat="1" ht="15" customHeight="1">
      <c r="A164" s="473">
        <v>79</v>
      </c>
      <c r="B164" s="221" t="s">
        <v>489</v>
      </c>
      <c r="C164" s="477" t="s">
        <v>706</v>
      </c>
      <c r="D164" s="477">
        <v>626</v>
      </c>
      <c r="E164" s="483">
        <v>658464</v>
      </c>
      <c r="F164" s="489" t="s">
        <v>704</v>
      </c>
      <c r="G164" s="246" t="s">
        <v>486</v>
      </c>
      <c r="H164" s="259"/>
      <c r="I164" s="226"/>
      <c r="J164" s="373"/>
      <c r="K164" s="373">
        <v>19083</v>
      </c>
      <c r="L164" s="373">
        <v>38172</v>
      </c>
      <c r="M164" s="373">
        <v>38172</v>
      </c>
      <c r="N164" s="373">
        <v>38172</v>
      </c>
      <c r="O164" s="373">
        <v>38172</v>
      </c>
      <c r="P164" s="373">
        <v>38172</v>
      </c>
      <c r="Q164" s="373">
        <v>38172</v>
      </c>
      <c r="R164" s="373">
        <v>38172</v>
      </c>
      <c r="S164" s="373">
        <v>38172</v>
      </c>
      <c r="T164" s="373">
        <v>38172</v>
      </c>
      <c r="U164" s="373">
        <v>38172</v>
      </c>
      <c r="V164" s="373">
        <v>38172</v>
      </c>
      <c r="W164" s="373">
        <v>38172</v>
      </c>
      <c r="X164" s="373">
        <v>181317</v>
      </c>
      <c r="Y164" s="227">
        <f t="shared" si="3"/>
        <v>658464</v>
      </c>
    </row>
    <row r="165" spans="1:25" s="214" customFormat="1" ht="12.75">
      <c r="A165" s="474"/>
      <c r="B165" s="228" t="s">
        <v>707</v>
      </c>
      <c r="C165" s="478"/>
      <c r="D165" s="478"/>
      <c r="E165" s="484"/>
      <c r="F165" s="490"/>
      <c r="G165" s="230">
        <v>0.0035</v>
      </c>
      <c r="H165" s="231">
        <v>0</v>
      </c>
      <c r="I165" s="232">
        <v>1787.77</v>
      </c>
      <c r="J165" s="371">
        <v>2600</v>
      </c>
      <c r="K165" s="371">
        <v>3340</v>
      </c>
      <c r="L165" s="371">
        <v>3215</v>
      </c>
      <c r="M165" s="371">
        <v>3020</v>
      </c>
      <c r="N165" s="371">
        <v>2835</v>
      </c>
      <c r="O165" s="371">
        <v>2635</v>
      </c>
      <c r="P165" s="371">
        <v>2440</v>
      </c>
      <c r="Q165" s="371">
        <v>2245</v>
      </c>
      <c r="R165" s="371">
        <v>2060</v>
      </c>
      <c r="S165" s="371">
        <v>1860</v>
      </c>
      <c r="T165" s="371">
        <v>1665</v>
      </c>
      <c r="U165" s="371">
        <v>1470</v>
      </c>
      <c r="V165" s="371">
        <v>1280</v>
      </c>
      <c r="W165" s="371">
        <v>1085</v>
      </c>
      <c r="X165" s="371">
        <v>2515</v>
      </c>
      <c r="Y165" s="233">
        <f t="shared" si="3"/>
        <v>34265</v>
      </c>
    </row>
    <row r="166" spans="1:25" s="249" customFormat="1" ht="12.75" customHeight="1">
      <c r="A166" s="467">
        <v>80</v>
      </c>
      <c r="B166" s="207" t="s">
        <v>489</v>
      </c>
      <c r="C166" s="493" t="s">
        <v>708</v>
      </c>
      <c r="D166" s="469">
        <v>627</v>
      </c>
      <c r="E166" s="481">
        <v>401001</v>
      </c>
      <c r="F166" s="487" t="s">
        <v>709</v>
      </c>
      <c r="G166" s="260" t="s">
        <v>486</v>
      </c>
      <c r="H166" s="250"/>
      <c r="I166" s="251"/>
      <c r="J166" s="377"/>
      <c r="K166" s="211">
        <v>11429</v>
      </c>
      <c r="L166" s="211">
        <v>22916</v>
      </c>
      <c r="M166" s="211">
        <v>22916</v>
      </c>
      <c r="N166" s="211">
        <v>22916</v>
      </c>
      <c r="O166" s="211">
        <v>22916</v>
      </c>
      <c r="P166" s="211">
        <v>22916</v>
      </c>
      <c r="Q166" s="211">
        <v>22916</v>
      </c>
      <c r="R166" s="211">
        <v>22916</v>
      </c>
      <c r="S166" s="211">
        <v>22916</v>
      </c>
      <c r="T166" s="211">
        <v>22916</v>
      </c>
      <c r="U166" s="211">
        <v>22916</v>
      </c>
      <c r="V166" s="211">
        <v>22916</v>
      </c>
      <c r="W166" s="211">
        <v>22916</v>
      </c>
      <c r="X166" s="211">
        <v>114580</v>
      </c>
      <c r="Y166" s="213">
        <f t="shared" si="3"/>
        <v>401001</v>
      </c>
    </row>
    <row r="167" spans="1:25" s="249" customFormat="1" ht="12.75">
      <c r="A167" s="468"/>
      <c r="B167" s="215" t="s">
        <v>710</v>
      </c>
      <c r="C167" s="494"/>
      <c r="D167" s="470"/>
      <c r="E167" s="482"/>
      <c r="F167" s="488"/>
      <c r="G167" s="261">
        <v>0.00369</v>
      </c>
      <c r="H167" s="262">
        <v>0</v>
      </c>
      <c r="I167" s="253">
        <v>1085.25</v>
      </c>
      <c r="J167" s="386">
        <v>1520</v>
      </c>
      <c r="K167" s="386">
        <v>2035</v>
      </c>
      <c r="L167" s="386">
        <v>1960</v>
      </c>
      <c r="M167" s="386">
        <v>1845</v>
      </c>
      <c r="N167" s="386">
        <v>1730</v>
      </c>
      <c r="O167" s="386">
        <v>1610</v>
      </c>
      <c r="P167" s="386">
        <v>1495</v>
      </c>
      <c r="Q167" s="386">
        <v>1380</v>
      </c>
      <c r="R167" s="386">
        <v>1265</v>
      </c>
      <c r="S167" s="386">
        <v>1145</v>
      </c>
      <c r="T167" s="386">
        <v>1030</v>
      </c>
      <c r="U167" s="386">
        <v>915</v>
      </c>
      <c r="V167" s="386">
        <v>800</v>
      </c>
      <c r="W167" s="386">
        <v>680</v>
      </c>
      <c r="X167" s="386">
        <v>1665</v>
      </c>
      <c r="Y167" s="220">
        <f t="shared" si="3"/>
        <v>21075</v>
      </c>
    </row>
    <row r="168" spans="1:25" s="249" customFormat="1" ht="12.75">
      <c r="A168" s="473">
        <v>81</v>
      </c>
      <c r="B168" s="221" t="s">
        <v>489</v>
      </c>
      <c r="C168" s="497" t="s">
        <v>706</v>
      </c>
      <c r="D168" s="477">
        <v>628</v>
      </c>
      <c r="E168" s="483">
        <v>119421</v>
      </c>
      <c r="F168" s="501" t="s">
        <v>711</v>
      </c>
      <c r="G168" s="263" t="s">
        <v>486</v>
      </c>
      <c r="H168" s="258"/>
      <c r="I168" s="255"/>
      <c r="J168" s="383"/>
      <c r="K168" s="383">
        <v>3363</v>
      </c>
      <c r="L168" s="383">
        <v>6728</v>
      </c>
      <c r="M168" s="383">
        <v>6728</v>
      </c>
      <c r="N168" s="383">
        <v>6728</v>
      </c>
      <c r="O168" s="383">
        <v>6728</v>
      </c>
      <c r="P168" s="383">
        <v>6728</v>
      </c>
      <c r="Q168" s="383">
        <v>6728</v>
      </c>
      <c r="R168" s="383">
        <v>6728</v>
      </c>
      <c r="S168" s="383">
        <v>6728</v>
      </c>
      <c r="T168" s="383">
        <v>6728</v>
      </c>
      <c r="U168" s="383">
        <v>6728</v>
      </c>
      <c r="V168" s="383">
        <v>6728</v>
      </c>
      <c r="W168" s="383">
        <v>6728</v>
      </c>
      <c r="X168" s="383">
        <v>35322</v>
      </c>
      <c r="Y168" s="227">
        <f t="shared" si="3"/>
        <v>119421</v>
      </c>
    </row>
    <row r="169" spans="1:25" s="249" customFormat="1" ht="12.75">
      <c r="A169" s="474"/>
      <c r="B169" s="228" t="s">
        <v>712</v>
      </c>
      <c r="C169" s="498"/>
      <c r="D169" s="478"/>
      <c r="E169" s="484"/>
      <c r="F169" s="490"/>
      <c r="G169" s="264">
        <v>0.00351</v>
      </c>
      <c r="H169" s="265">
        <v>0</v>
      </c>
      <c r="I169" s="257">
        <v>335.09</v>
      </c>
      <c r="J169" s="387">
        <v>475</v>
      </c>
      <c r="K169" s="387">
        <v>565</v>
      </c>
      <c r="L169" s="387">
        <v>585</v>
      </c>
      <c r="M169" s="387">
        <v>550</v>
      </c>
      <c r="N169" s="387">
        <v>520</v>
      </c>
      <c r="O169" s="387">
        <v>485</v>
      </c>
      <c r="P169" s="387">
        <v>450</v>
      </c>
      <c r="Q169" s="387">
        <v>415</v>
      </c>
      <c r="R169" s="387">
        <v>380</v>
      </c>
      <c r="S169" s="387">
        <v>345</v>
      </c>
      <c r="T169" s="387">
        <v>310</v>
      </c>
      <c r="U169" s="387">
        <v>280</v>
      </c>
      <c r="V169" s="387">
        <v>245</v>
      </c>
      <c r="W169" s="387">
        <v>210</v>
      </c>
      <c r="X169" s="387">
        <v>535</v>
      </c>
      <c r="Y169" s="233">
        <f t="shared" si="3"/>
        <v>6350</v>
      </c>
    </row>
    <row r="170" spans="1:25" s="249" customFormat="1" ht="12.75">
      <c r="A170" s="467">
        <v>82</v>
      </c>
      <c r="B170" s="207" t="s">
        <v>489</v>
      </c>
      <c r="C170" s="493" t="s">
        <v>713</v>
      </c>
      <c r="D170" s="469">
        <v>629</v>
      </c>
      <c r="E170" s="481">
        <v>463710</v>
      </c>
      <c r="F170" s="487" t="s">
        <v>714</v>
      </c>
      <c r="G170" s="260" t="s">
        <v>486</v>
      </c>
      <c r="H170" s="250"/>
      <c r="I170" s="251">
        <f>34500+4429.82</f>
        <v>38929.82</v>
      </c>
      <c r="J170" s="377"/>
      <c r="K170" s="211"/>
      <c r="L170" s="211">
        <v>11835.18</v>
      </c>
      <c r="M170" s="211">
        <v>25412</v>
      </c>
      <c r="N170" s="211">
        <v>25412</v>
      </c>
      <c r="O170" s="211">
        <v>25412</v>
      </c>
      <c r="P170" s="211">
        <v>25412</v>
      </c>
      <c r="Q170" s="211">
        <v>25412</v>
      </c>
      <c r="R170" s="211">
        <v>25412</v>
      </c>
      <c r="S170" s="211">
        <v>25412</v>
      </c>
      <c r="T170" s="211">
        <v>25412</v>
      </c>
      <c r="U170" s="211">
        <v>25412</v>
      </c>
      <c r="V170" s="211">
        <v>25412</v>
      </c>
      <c r="W170" s="211">
        <v>25412</v>
      </c>
      <c r="X170" s="211">
        <v>133413</v>
      </c>
      <c r="Y170" s="213">
        <f t="shared" si="3"/>
        <v>424780.18</v>
      </c>
    </row>
    <row r="171" spans="1:25" s="249" customFormat="1" ht="12.75">
      <c r="A171" s="468"/>
      <c r="B171" s="215" t="s">
        <v>715</v>
      </c>
      <c r="C171" s="494"/>
      <c r="D171" s="470"/>
      <c r="E171" s="482"/>
      <c r="F171" s="488"/>
      <c r="G171" s="261">
        <v>0.00351</v>
      </c>
      <c r="H171" s="262">
        <v>0</v>
      </c>
      <c r="I171" s="253">
        <v>979.24</v>
      </c>
      <c r="J171" s="386">
        <v>1655</v>
      </c>
      <c r="K171" s="386">
        <v>1995</v>
      </c>
      <c r="L171" s="386">
        <v>2155</v>
      </c>
      <c r="M171" s="386">
        <v>2075</v>
      </c>
      <c r="N171" s="386">
        <v>1955</v>
      </c>
      <c r="O171" s="386">
        <v>1820</v>
      </c>
      <c r="P171" s="386">
        <v>1690</v>
      </c>
      <c r="Q171" s="386">
        <v>1560</v>
      </c>
      <c r="R171" s="386">
        <v>1435</v>
      </c>
      <c r="S171" s="386">
        <v>1305</v>
      </c>
      <c r="T171" s="386">
        <v>1175</v>
      </c>
      <c r="U171" s="386">
        <v>1045</v>
      </c>
      <c r="V171" s="386">
        <v>920</v>
      </c>
      <c r="W171" s="386">
        <v>790</v>
      </c>
      <c r="X171" s="386">
        <v>2020</v>
      </c>
      <c r="Y171" s="220">
        <f t="shared" si="3"/>
        <v>23595</v>
      </c>
    </row>
    <row r="172" spans="1:25" s="249" customFormat="1" ht="12.75">
      <c r="A172" s="473">
        <v>83</v>
      </c>
      <c r="B172" s="223" t="s">
        <v>489</v>
      </c>
      <c r="C172" s="497" t="s">
        <v>716</v>
      </c>
      <c r="D172" s="497">
        <v>630</v>
      </c>
      <c r="E172" s="483">
        <v>162998</v>
      </c>
      <c r="F172" s="502" t="s">
        <v>717</v>
      </c>
      <c r="G172" s="263" t="s">
        <v>486</v>
      </c>
      <c r="H172" s="266"/>
      <c r="I172" s="266">
        <v>54895.61</v>
      </c>
      <c r="J172" s="266"/>
      <c r="K172" s="266"/>
      <c r="L172" s="388"/>
      <c r="M172" s="388"/>
      <c r="N172" s="388"/>
      <c r="O172" s="388"/>
      <c r="P172" s="388"/>
      <c r="Q172" s="388">
        <v>968.39</v>
      </c>
      <c r="R172" s="388">
        <v>9316</v>
      </c>
      <c r="S172" s="388">
        <v>9316</v>
      </c>
      <c r="T172" s="388">
        <v>9316</v>
      </c>
      <c r="U172" s="388">
        <v>9316</v>
      </c>
      <c r="V172" s="388">
        <v>9316</v>
      </c>
      <c r="W172" s="388">
        <v>9316</v>
      </c>
      <c r="X172" s="388">
        <v>51238</v>
      </c>
      <c r="Y172" s="227">
        <f t="shared" si="3"/>
        <v>108102.39</v>
      </c>
    </row>
    <row r="173" spans="1:25" s="249" customFormat="1" ht="12.75">
      <c r="A173" s="474"/>
      <c r="B173" s="267" t="s">
        <v>718</v>
      </c>
      <c r="C173" s="498"/>
      <c r="D173" s="498"/>
      <c r="E173" s="484"/>
      <c r="F173" s="503"/>
      <c r="G173" s="264">
        <v>0.00325</v>
      </c>
      <c r="H173" s="268"/>
      <c r="I173" s="269">
        <v>142.8</v>
      </c>
      <c r="J173" s="389">
        <v>455</v>
      </c>
      <c r="K173" s="389">
        <v>550</v>
      </c>
      <c r="L173" s="389">
        <v>550</v>
      </c>
      <c r="M173" s="389">
        <v>550</v>
      </c>
      <c r="N173" s="387">
        <v>555</v>
      </c>
      <c r="O173" s="389">
        <v>550</v>
      </c>
      <c r="P173" s="389">
        <v>550</v>
      </c>
      <c r="Q173" s="389">
        <v>550</v>
      </c>
      <c r="R173" s="389">
        <v>540</v>
      </c>
      <c r="S173" s="389">
        <v>490</v>
      </c>
      <c r="T173" s="389">
        <v>445</v>
      </c>
      <c r="U173" s="389">
        <v>400</v>
      </c>
      <c r="V173" s="389">
        <v>350</v>
      </c>
      <c r="W173" s="389">
        <v>300</v>
      </c>
      <c r="X173" s="389">
        <v>810</v>
      </c>
      <c r="Y173" s="233">
        <f t="shared" si="3"/>
        <v>7645</v>
      </c>
    </row>
    <row r="174" spans="1:25" s="249" customFormat="1" ht="12.75">
      <c r="A174" s="467">
        <v>84</v>
      </c>
      <c r="B174" s="209" t="s">
        <v>719</v>
      </c>
      <c r="C174" s="493" t="s">
        <v>720</v>
      </c>
      <c r="D174" s="493">
        <v>631</v>
      </c>
      <c r="E174" s="481">
        <v>89504</v>
      </c>
      <c r="F174" s="504" t="s">
        <v>721</v>
      </c>
      <c r="G174" s="260" t="s">
        <v>486</v>
      </c>
      <c r="H174" s="270"/>
      <c r="I174" s="270"/>
      <c r="J174" s="270"/>
      <c r="K174" s="270"/>
      <c r="L174" s="270">
        <v>5090</v>
      </c>
      <c r="M174" s="270">
        <v>5116</v>
      </c>
      <c r="N174" s="270">
        <v>5116</v>
      </c>
      <c r="O174" s="270">
        <v>5116</v>
      </c>
      <c r="P174" s="270">
        <v>5116</v>
      </c>
      <c r="Q174" s="270">
        <v>5116</v>
      </c>
      <c r="R174" s="270">
        <v>5116</v>
      </c>
      <c r="S174" s="270">
        <v>5116</v>
      </c>
      <c r="T174" s="270">
        <v>5116</v>
      </c>
      <c r="U174" s="270">
        <v>5116</v>
      </c>
      <c r="V174" s="270">
        <v>5116</v>
      </c>
      <c r="W174" s="270">
        <v>5116</v>
      </c>
      <c r="X174" s="270">
        <v>28137.76</v>
      </c>
      <c r="Y174" s="213">
        <f t="shared" si="3"/>
        <v>89503.76</v>
      </c>
    </row>
    <row r="175" spans="1:25" s="249" customFormat="1" ht="12.75">
      <c r="A175" s="468"/>
      <c r="B175" s="271" t="s">
        <v>722</v>
      </c>
      <c r="C175" s="494"/>
      <c r="D175" s="494"/>
      <c r="E175" s="482"/>
      <c r="F175" s="505"/>
      <c r="G175" s="261">
        <v>0.00359</v>
      </c>
      <c r="H175" s="272"/>
      <c r="I175" s="273">
        <v>39.19</v>
      </c>
      <c r="J175" s="390">
        <v>395</v>
      </c>
      <c r="K175" s="390">
        <v>455</v>
      </c>
      <c r="L175" s="390">
        <v>450</v>
      </c>
      <c r="M175" s="390">
        <v>425</v>
      </c>
      <c r="N175" s="386">
        <v>400</v>
      </c>
      <c r="O175" s="390">
        <v>375</v>
      </c>
      <c r="P175" s="390">
        <v>350</v>
      </c>
      <c r="Q175" s="390">
        <v>325</v>
      </c>
      <c r="R175" s="390">
        <v>300</v>
      </c>
      <c r="S175" s="390">
        <v>170</v>
      </c>
      <c r="T175" s="390">
        <v>245</v>
      </c>
      <c r="U175" s="390">
        <v>220</v>
      </c>
      <c r="V175" s="390">
        <v>195</v>
      </c>
      <c r="W175" s="390">
        <v>165</v>
      </c>
      <c r="X175" s="390">
        <v>445</v>
      </c>
      <c r="Y175" s="220">
        <f t="shared" si="3"/>
        <v>4915</v>
      </c>
    </row>
    <row r="176" spans="1:25" s="249" customFormat="1" ht="16.5" customHeight="1">
      <c r="A176" s="467">
        <v>85</v>
      </c>
      <c r="B176" s="221" t="s">
        <v>489</v>
      </c>
      <c r="C176" s="497" t="s">
        <v>723</v>
      </c>
      <c r="D176" s="497">
        <v>632</v>
      </c>
      <c r="E176" s="483">
        <v>1150770</v>
      </c>
      <c r="F176" s="477" t="s">
        <v>724</v>
      </c>
      <c r="G176" s="263" t="s">
        <v>486</v>
      </c>
      <c r="H176" s="258"/>
      <c r="I176" s="255"/>
      <c r="J176" s="383"/>
      <c r="K176" s="383"/>
      <c r="L176" s="383">
        <v>33344</v>
      </c>
      <c r="M176" s="383">
        <v>66712</v>
      </c>
      <c r="N176" s="383">
        <v>66712</v>
      </c>
      <c r="O176" s="383">
        <v>66712</v>
      </c>
      <c r="P176" s="383">
        <v>66712</v>
      </c>
      <c r="Q176" s="383">
        <v>66712</v>
      </c>
      <c r="R176" s="383">
        <v>66712</v>
      </c>
      <c r="S176" s="383">
        <v>66712</v>
      </c>
      <c r="T176" s="383">
        <v>66712</v>
      </c>
      <c r="U176" s="383">
        <v>66712</v>
      </c>
      <c r="V176" s="383">
        <v>66712</v>
      </c>
      <c r="W176" s="383">
        <v>66712</v>
      </c>
      <c r="X176" s="391">
        <v>383594</v>
      </c>
      <c r="Y176" s="227">
        <f t="shared" si="3"/>
        <v>1150770</v>
      </c>
    </row>
    <row r="177" spans="1:25" s="249" customFormat="1" ht="16.5" customHeight="1">
      <c r="A177" s="468"/>
      <c r="B177" s="228" t="s">
        <v>725</v>
      </c>
      <c r="C177" s="498"/>
      <c r="D177" s="498"/>
      <c r="E177" s="484"/>
      <c r="F177" s="478"/>
      <c r="G177" s="264">
        <v>0.00402</v>
      </c>
      <c r="H177" s="265"/>
      <c r="I177" s="257"/>
      <c r="J177" s="387">
        <v>4225</v>
      </c>
      <c r="K177" s="387">
        <v>5835</v>
      </c>
      <c r="L177" s="387">
        <v>5825</v>
      </c>
      <c r="M177" s="387">
        <v>5615</v>
      </c>
      <c r="N177" s="387">
        <v>5290</v>
      </c>
      <c r="O177" s="387">
        <v>4940</v>
      </c>
      <c r="P177" s="387">
        <v>4600</v>
      </c>
      <c r="Q177" s="387">
        <v>4260</v>
      </c>
      <c r="R177" s="387">
        <v>3935</v>
      </c>
      <c r="S177" s="387">
        <v>3585</v>
      </c>
      <c r="T177" s="387">
        <v>3250</v>
      </c>
      <c r="U177" s="387">
        <v>2910</v>
      </c>
      <c r="V177" s="387">
        <v>2580</v>
      </c>
      <c r="W177" s="387">
        <v>2235</v>
      </c>
      <c r="X177" s="387">
        <v>6290</v>
      </c>
      <c r="Y177" s="233">
        <f t="shared" si="3"/>
        <v>65375</v>
      </c>
    </row>
    <row r="178" spans="1:25" s="249" customFormat="1" ht="12.75" hidden="1">
      <c r="A178" s="467">
        <v>86</v>
      </c>
      <c r="B178" s="207"/>
      <c r="C178" s="506"/>
      <c r="D178" s="493"/>
      <c r="E178" s="481"/>
      <c r="F178" s="487"/>
      <c r="G178" s="260"/>
      <c r="H178" s="274"/>
      <c r="I178" s="251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13">
        <f>SUM(J178:X178)</f>
        <v>0</v>
      </c>
    </row>
    <row r="179" spans="1:25" s="249" customFormat="1" ht="12.75" hidden="1">
      <c r="A179" s="468"/>
      <c r="B179" s="215"/>
      <c r="C179" s="494"/>
      <c r="D179" s="494"/>
      <c r="E179" s="482"/>
      <c r="F179" s="488"/>
      <c r="G179" s="261"/>
      <c r="H179" s="262"/>
      <c r="I179" s="253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20">
        <f t="shared" si="3"/>
        <v>0</v>
      </c>
    </row>
    <row r="180" spans="1:25" s="249" customFormat="1" ht="12.75" hidden="1">
      <c r="A180" s="467">
        <v>87</v>
      </c>
      <c r="B180" s="207"/>
      <c r="C180" s="506"/>
      <c r="D180" s="493"/>
      <c r="E180" s="481"/>
      <c r="F180" s="487"/>
      <c r="G180" s="275"/>
      <c r="H180" s="276"/>
      <c r="I180" s="277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13">
        <f>SUM(J180:X180)</f>
        <v>0</v>
      </c>
    </row>
    <row r="181" spans="1:25" s="249" customFormat="1" ht="12.75" hidden="1">
      <c r="A181" s="468"/>
      <c r="B181" s="215"/>
      <c r="C181" s="494"/>
      <c r="D181" s="494"/>
      <c r="E181" s="482"/>
      <c r="F181" s="488"/>
      <c r="G181" s="278"/>
      <c r="H181" s="279"/>
      <c r="I181" s="280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20">
        <f t="shared" si="3"/>
        <v>0</v>
      </c>
    </row>
    <row r="182" spans="1:25" s="249" customFormat="1" ht="12.75" hidden="1">
      <c r="A182" s="473">
        <v>88</v>
      </c>
      <c r="B182" s="194"/>
      <c r="C182" s="507"/>
      <c r="D182" s="509"/>
      <c r="E182" s="511"/>
      <c r="F182" s="513"/>
      <c r="G182" s="281"/>
      <c r="H182" s="282"/>
      <c r="I182" s="283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13">
        <f>SUM(J182:X182)</f>
        <v>0</v>
      </c>
    </row>
    <row r="183" spans="1:25" s="249" customFormat="1" ht="12.75" hidden="1">
      <c r="A183" s="474"/>
      <c r="B183" s="194"/>
      <c r="C183" s="508"/>
      <c r="D183" s="510"/>
      <c r="E183" s="512"/>
      <c r="F183" s="514"/>
      <c r="G183" s="284"/>
      <c r="H183" s="285"/>
      <c r="I183" s="286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20">
        <f t="shared" si="3"/>
        <v>0</v>
      </c>
    </row>
    <row r="184" spans="1:25" ht="12.75">
      <c r="A184" s="287"/>
      <c r="B184" s="515" t="s">
        <v>726</v>
      </c>
      <c r="C184" s="516"/>
      <c r="D184" s="516"/>
      <c r="E184" s="516"/>
      <c r="F184" s="517"/>
      <c r="G184" s="288"/>
      <c r="H184" s="289" t="e">
        <f>SUM(H8+#REF!+#REF!+#REF!+H10+H12+H14+H16+H18+H20+H22+H24+H26+H28+H30+H32+H34+H36+H38+H40+H42+H44+H46+H48+H50+H52+H54+H56+H58+H60+H62+H64+H66+H68+H70+H72+H74+H76+H78+H80+H82+H84+H86+H88+H90+H92+H94+H96+H98+H100+H102+H104+H106+H108+H110+H112+H114+#REF!+H116+H118+H120+H122+H124+H126+H128+H130+#REF!+#REF!+#REF!+#REF!+H132+H134+H136+H138+H140+H142+H144+H146+H148+H150+H152+#REF!+H154+H156+H158+H160+H162+H164+H166+H168+H170+H172+H174+H176+H182)</f>
        <v>#REF!</v>
      </c>
      <c r="I184" s="289" t="e">
        <f>SUM(I8+#REF!+#REF!+#REF!+I10+I12+I14+I16+I18+I20+I22+I24+I26+I28+I30+I32+I34+I36+I38+I40+I42+I44+I46+I48+I50+I52+I54+I56+I58+I60+I62+I64+I66+I68+I70+I72+I74+I76+I78+I80+I82+I84+I86+I88+I90+I92+I94+I96+I98+I100+I102+I104+I106+I108+I110+I112+I114+#REF!+I116+I118+I120+I122+I124+I126+I128+I130+#REF!+#REF!+#REF!+#REF!+I132+I134+I136+I138+I140+I142+I144+I146+I148+I150+I152+#REF!+I154+I156+I158+I160+I162+I164+I166+I168+I170+I172+I174+I176+I182+I178+I180)</f>
        <v>#REF!</v>
      </c>
      <c r="J184" s="289">
        <f>SUM(J8+J10+J12+J14+J16+J18+J20+J22+J24+J26+J28+J30+J32+J34+J36+J38+J40+J42+J44+J46+J48+J50+J52+J54+J56+J58+J60+J62+J64+J66+J68+J70+J72+J74+J76+J78+J80+J82+J84+J86+J88+J90+J92+J94+J96+J98+J100+J102+J104+J106+J108+J110+J112+J114+J116+J118+J120+J122+J124+J126+J128+J130+J132+J134+J136+J138+J140+J142+J144+J146+J148+J150+J152+J154+J156+J158+J160+J162+J164+J166+J168+J170+J172+J174+J176+J182+J178+J180)+615483</f>
        <v>4926440.500000001</v>
      </c>
      <c r="K184" s="289">
        <f aca="true" t="shared" si="4" ref="K184:X184">SUM(K8+K10+K12+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+K170+K172+K174+K176+K182+K178+K180)</f>
        <v>4091197.750000001</v>
      </c>
      <c r="L184" s="289">
        <f t="shared" si="4"/>
        <v>4699908.18</v>
      </c>
      <c r="M184" s="289">
        <f t="shared" si="4"/>
        <v>5227160.57</v>
      </c>
      <c r="N184" s="289">
        <f t="shared" si="4"/>
        <v>5607752.83</v>
      </c>
      <c r="O184" s="289">
        <f t="shared" si="4"/>
        <v>5426158.900000001</v>
      </c>
      <c r="P184" s="289">
        <f t="shared" si="4"/>
        <v>4677106.180000002</v>
      </c>
      <c r="Q184" s="289">
        <f t="shared" si="4"/>
        <v>4291744.720000001</v>
      </c>
      <c r="R184" s="289">
        <f t="shared" si="4"/>
        <v>4008534.53</v>
      </c>
      <c r="S184" s="289">
        <f t="shared" si="4"/>
        <v>3911902.41</v>
      </c>
      <c r="T184" s="289">
        <f t="shared" si="4"/>
        <v>3518734.27</v>
      </c>
      <c r="U184" s="289">
        <f t="shared" si="4"/>
        <v>1766823.6800000002</v>
      </c>
      <c r="V184" s="289">
        <f t="shared" si="4"/>
        <v>1247809.72</v>
      </c>
      <c r="W184" s="289">
        <f t="shared" si="4"/>
        <v>1049814.9100000001</v>
      </c>
      <c r="X184" s="289">
        <f t="shared" si="4"/>
        <v>3869691.7199999997</v>
      </c>
      <c r="Y184" s="290">
        <f>SUM(Y8+Y10+Y12+Y14+Y16+Y18+Y20+Y22+Y24+Y26+Y28+Y30+Y32+Y34+Y36+Y38+Y40+Y42+Y44+Y46+Y48+Y50+Y52+Y54+Y56+Y58+Y60+Y62+Y64+Y66+Y68+Y70+Y72+Y74+Y76+Y78+Y80+Y82+Y84+Y86+Y88+Y90+Y92+Y94+Y96+Y98+Y100+Y102+Y104+Y106+Y108+Y110+Y112+Y114+Y116+Y118+Y120+Y122+Y124+Y126+Y128+Y130+Y132+Y134+Y136+Y138+Y140+Y142+Y144+Y146+Y148+Y150+Y152+Y154+Y156+Y158+Y160+Y162+Y164+Y166+Y168+Y170+Y172+Y174+Y176+Y178+Y182+Y180)</f>
        <v>57705297.870000005</v>
      </c>
    </row>
    <row r="185" spans="1:25" ht="13.5" thickBot="1">
      <c r="A185" s="291"/>
      <c r="B185" s="518" t="s">
        <v>727</v>
      </c>
      <c r="C185" s="518"/>
      <c r="D185" s="518"/>
      <c r="E185" s="518"/>
      <c r="F185" s="518"/>
      <c r="G185" s="292"/>
      <c r="H185" s="293" t="e">
        <f>SUM(H9+#REF!+#REF!+#REF!+H11+H13+H15+H17+H19+H21+H23+H25+H27+H29+H31+H33+H35+H37+H39+H41+H43+H45+H47+H49+H51+H53+H55+H57+H59+H61+H63+H65+H67+H69+H71+H73+H75+H77+H79+H81+H83+H85+H87+H89+H91+H93+H95+H97+H99+H101+H103+H105+H107+H109+H111+H113+H115+#REF!+H117+H119+H121+H123+H125+H127+H129+H131+#REF!+#REF!+#REF!+#REF!+H133+H135+H137+H139+H141+H143+H145+H147+H149+H151+H153+#REF!+H155+H157+H159+H161+H163+H165+H167+H169+H171+H173+H175+H177+H183)</f>
        <v>#REF!</v>
      </c>
      <c r="I185" s="294" t="e">
        <f>SUM(I9+#REF!+#REF!+#REF!+I11+I13+I15+I17+I19+I21+I23+I25+I27+I29+I31+I33+I35+I37+I39+I41+I43+I45+I47+I49+I51+I53+I55+I57+I59+I61+I63+I65+I67+I69+I71+I73+I75+I77+I79+I81+I83+I85+I87+I89+I91+I93+I95+I97+I99+I101+I103+I105+I107+I109+I111+I113+I115+#REF!+I117+I119+I121+I123+I125+I127+I129+I131+#REF!+#REF!+#REF!+#REF!+I133+I135+I137+I139+I141+I143+I145+I147+I149+I151+I153+#REF!+I155+I157+I159+I161+I163+I165+I167+I169+I171+I173+I175+I177+I179+I183+I181)</f>
        <v>#REF!</v>
      </c>
      <c r="J185" s="358">
        <f>SUM(J9+J11+J13+J15+J17+J19+J21+J23+J25+J27+J29+J31+J33+J35+J37+J39+J41+J43+J45+J47+J49+J51+J53+J55+J57+J59+J61+J63+J65+J67+J69+J71+J73+J75+J77+J79+J81+J83+J85+J87+J89+J91+J93+J95+J97+J99+J101+J103+J105+J107+J109+J111+J113+J115+J117+J119+J121+J123+J125+J127+J129+J131+J133+J135+J137+J139+J141+J143+J145+J147+J149+J151+J153+J155+J157+J159+J161+J163+J165+J167+J169+J171+J173+J175+J177+J179+J183+J181)+42885</f>
        <v>300000</v>
      </c>
      <c r="K185" s="358">
        <f aca="true" t="shared" si="5" ref="K185:X185">SUM(K9+K11+K13+K15+K17+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+K165+K167+K169+K171+K173+K175+K177+K179+K183+K181)</f>
        <v>266910</v>
      </c>
      <c r="L185" s="358">
        <f t="shared" si="5"/>
        <v>246670</v>
      </c>
      <c r="M185" s="358">
        <f t="shared" si="5"/>
        <v>212945</v>
      </c>
      <c r="N185" s="358">
        <f t="shared" si="5"/>
        <v>195855</v>
      </c>
      <c r="O185" s="358">
        <f t="shared" si="5"/>
        <v>167185</v>
      </c>
      <c r="P185" s="358">
        <f t="shared" si="5"/>
        <v>139880</v>
      </c>
      <c r="Q185" s="358">
        <f t="shared" si="5"/>
        <v>116725</v>
      </c>
      <c r="R185" s="358">
        <f t="shared" si="5"/>
        <v>95490</v>
      </c>
      <c r="S185" s="358">
        <f t="shared" si="5"/>
        <v>74865</v>
      </c>
      <c r="T185" s="358">
        <f t="shared" si="5"/>
        <v>55250</v>
      </c>
      <c r="U185" s="358">
        <f t="shared" si="5"/>
        <v>38705</v>
      </c>
      <c r="V185" s="358">
        <f t="shared" si="5"/>
        <v>30540</v>
      </c>
      <c r="W185" s="358">
        <f t="shared" si="5"/>
        <v>24220</v>
      </c>
      <c r="X185" s="358">
        <f t="shared" si="5"/>
        <v>51795</v>
      </c>
      <c r="Y185" s="359">
        <f>SUM(Y9+Y11+Y13+Y15+Y17+Y19+Y21+Y23+Y25+Y27+Y29+Y31+Y33+Y35+Y37+Y39+Y41+Y43+Y45+Y47+Y49+Y51+Y53+Y55+Y57+Y59+Y61+Y63+Y65+Y67+Y69+Y71+Y73+Y75+Y77+Y79+Y81+Y83+Y85+Y87+Y89+Y91+Y93+Y95+Y97+Y99+Y101+Y103+Y105+Y107+Y109+Y111+Y113+Y115+Y117+Y119+Y121+Y123+Y125+Y127+Y129+Y131+Y133+Y135+Y137+Y139+Y141+Y143+Y145+Y147+Y149+Y151+Y153+Y155+Y157+Y159+Y161+Y163+Y165+Y167+Y169+Y171+Y173+Y175+Y177+Y179+Y183+Y181)</f>
        <v>1974150</v>
      </c>
    </row>
    <row r="186" spans="1:25" ht="13.5" thickTop="1">
      <c r="A186" s="295"/>
      <c r="B186" s="519" t="s">
        <v>728</v>
      </c>
      <c r="C186" s="520"/>
      <c r="D186" s="520"/>
      <c r="E186" s="520"/>
      <c r="F186" s="520"/>
      <c r="G186" s="296"/>
      <c r="H186" s="297" t="e">
        <f>SUM(H184:H185)</f>
        <v>#REF!</v>
      </c>
      <c r="I186" s="298" t="e">
        <f>SUM(I184:I185)</f>
        <v>#REF!</v>
      </c>
      <c r="J186" s="297">
        <f aca="true" t="shared" si="6" ref="J186:X186">SUM(J184:J185)</f>
        <v>5226440.500000001</v>
      </c>
      <c r="K186" s="297">
        <f t="shared" si="6"/>
        <v>4358107.750000001</v>
      </c>
      <c r="L186" s="297">
        <f t="shared" si="6"/>
        <v>4946578.18</v>
      </c>
      <c r="M186" s="297">
        <f t="shared" si="6"/>
        <v>5440105.57</v>
      </c>
      <c r="N186" s="297">
        <f t="shared" si="6"/>
        <v>5803607.83</v>
      </c>
      <c r="O186" s="297">
        <f t="shared" si="6"/>
        <v>5593343.900000001</v>
      </c>
      <c r="P186" s="297">
        <f t="shared" si="6"/>
        <v>4816986.180000002</v>
      </c>
      <c r="Q186" s="297">
        <f t="shared" si="6"/>
        <v>4408469.720000001</v>
      </c>
      <c r="R186" s="297">
        <f t="shared" si="6"/>
        <v>4104024.53</v>
      </c>
      <c r="S186" s="297">
        <f t="shared" si="6"/>
        <v>3986767.41</v>
      </c>
      <c r="T186" s="297">
        <f t="shared" si="6"/>
        <v>3573984.27</v>
      </c>
      <c r="U186" s="297">
        <f t="shared" si="6"/>
        <v>1805528.6800000002</v>
      </c>
      <c r="V186" s="297">
        <f t="shared" si="6"/>
        <v>1278349.72</v>
      </c>
      <c r="W186" s="297">
        <f t="shared" si="6"/>
        <v>1074034.9100000001</v>
      </c>
      <c r="X186" s="297">
        <f t="shared" si="6"/>
        <v>3921486.7199999997</v>
      </c>
      <c r="Y186" s="299">
        <f>SUM(Y184:Y185)</f>
        <v>59679447.870000005</v>
      </c>
    </row>
    <row r="187" spans="1:25" ht="12.75">
      <c r="A187" s="300"/>
      <c r="B187" s="521" t="s">
        <v>729</v>
      </c>
      <c r="C187" s="522"/>
      <c r="D187" s="301"/>
      <c r="E187" s="302" t="s">
        <v>730</v>
      </c>
      <c r="F187" s="303">
        <v>45322422</v>
      </c>
      <c r="G187" s="304" t="s">
        <v>731</v>
      </c>
      <c r="H187" s="305" t="e">
        <f aca="true" t="shared" si="7" ref="H187:X187">SUM(H186/$F$187)</f>
        <v>#REF!</v>
      </c>
      <c r="I187" s="306" t="e">
        <f t="shared" si="7"/>
        <v>#REF!</v>
      </c>
      <c r="J187" s="305">
        <f t="shared" si="7"/>
        <v>0.11531688443305173</v>
      </c>
      <c r="K187" s="305">
        <f t="shared" si="7"/>
        <v>0.09615787413126335</v>
      </c>
      <c r="L187" s="305">
        <f t="shared" si="7"/>
        <v>0.10914196465493392</v>
      </c>
      <c r="M187" s="305">
        <f t="shared" si="7"/>
        <v>0.12003121920536375</v>
      </c>
      <c r="N187" s="305">
        <f t="shared" si="7"/>
        <v>0.12805158184176477</v>
      </c>
      <c r="O187" s="305">
        <f t="shared" si="7"/>
        <v>0.12341229027874992</v>
      </c>
      <c r="P187" s="305">
        <f t="shared" si="7"/>
        <v>0.10628262937933904</v>
      </c>
      <c r="Q187" s="305">
        <f t="shared" si="7"/>
        <v>0.09726906739450068</v>
      </c>
      <c r="R187" s="305">
        <f t="shared" si="7"/>
        <v>0.09055174787437441</v>
      </c>
      <c r="S187" s="305">
        <f t="shared" si="7"/>
        <v>0.08796457104609282</v>
      </c>
      <c r="T187" s="305">
        <f t="shared" si="7"/>
        <v>0.07885686846126626</v>
      </c>
      <c r="U187" s="305">
        <f t="shared" si="7"/>
        <v>0.039837427046595174</v>
      </c>
      <c r="V187" s="307">
        <f t="shared" si="7"/>
        <v>0.028205679740592855</v>
      </c>
      <c r="W187" s="307">
        <f t="shared" si="7"/>
        <v>0.02369765035946226</v>
      </c>
      <c r="X187" s="307">
        <f t="shared" si="7"/>
        <v>0.0865242091431036</v>
      </c>
      <c r="Y187" s="308"/>
    </row>
    <row r="188" spans="6:24" ht="12.75">
      <c r="F188" s="309"/>
      <c r="G188" s="310"/>
      <c r="H188" s="311"/>
      <c r="I188" s="309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</row>
    <row r="189" spans="5:25" ht="15" customHeight="1">
      <c r="E189" s="523" t="s">
        <v>732</v>
      </c>
      <c r="F189" s="523"/>
      <c r="G189" s="523"/>
      <c r="H189" s="312" t="e">
        <f>H112+#REF!+#REF!+H132+H136+H138+H144+H148+H150+#REF!+H152+#REF!+H154+H126-0.35</f>
        <v>#REF!</v>
      </c>
      <c r="I189" s="313" t="e">
        <f>I162+#REF!+I138+#REF!+#REF!+#REF!+#REF!+I152+I148+I170+I172+I154-2109.45+I150-5356.88-19615.99+I144</f>
        <v>#REF!</v>
      </c>
      <c r="J189" s="392">
        <f>J154</f>
        <v>446915.17</v>
      </c>
      <c r="S189" s="314"/>
      <c r="T189" s="314"/>
      <c r="U189" s="314"/>
      <c r="V189" s="314"/>
      <c r="W189" s="314"/>
      <c r="Y189" s="73"/>
    </row>
    <row r="190" spans="5:25" ht="15" customHeight="1">
      <c r="E190" s="523" t="s">
        <v>733</v>
      </c>
      <c r="F190" s="523"/>
      <c r="G190" s="523"/>
      <c r="H190" s="312"/>
      <c r="I190" s="313"/>
      <c r="J190" s="315">
        <f>18483+597000</f>
        <v>615483</v>
      </c>
      <c r="S190" s="314"/>
      <c r="T190" s="314"/>
      <c r="U190" s="314"/>
      <c r="V190" s="314"/>
      <c r="W190" s="314"/>
      <c r="Y190" s="73"/>
    </row>
    <row r="191" spans="5:25" ht="15.75" customHeight="1">
      <c r="E191" s="523" t="s">
        <v>734</v>
      </c>
      <c r="F191" s="523"/>
      <c r="G191" s="523"/>
      <c r="H191" s="316"/>
      <c r="I191" s="317" t="e">
        <f>I184-I189</f>
        <v>#REF!</v>
      </c>
      <c r="J191" s="318">
        <f>J184-J189-J190</f>
        <v>3864042.330000001</v>
      </c>
      <c r="K191" s="315"/>
      <c r="L191" s="314"/>
      <c r="M191" s="319"/>
      <c r="N191" s="80"/>
      <c r="O191" s="320"/>
      <c r="P191" s="321"/>
      <c r="Q191" s="195"/>
      <c r="R191" s="195"/>
      <c r="S191" s="195"/>
      <c r="T191" s="195"/>
      <c r="Y191" s="73"/>
    </row>
    <row r="192" spans="1:25" s="194" customFormat="1" ht="15" customHeight="1">
      <c r="A192"/>
      <c r="B192" s="249"/>
      <c r="C192" s="202"/>
      <c r="D192" s="202"/>
      <c r="E192" s="524"/>
      <c r="F192" s="524"/>
      <c r="G192" s="524"/>
      <c r="H192" s="322"/>
      <c r="I192" s="313"/>
      <c r="J192" s="323"/>
      <c r="K192" s="324"/>
      <c r="L192" s="325"/>
      <c r="M192" s="326"/>
      <c r="N192" s="4"/>
      <c r="O192" s="75"/>
      <c r="P192" s="327"/>
      <c r="Q192"/>
      <c r="R192"/>
      <c r="S192"/>
      <c r="T192"/>
      <c r="U192"/>
      <c r="V192"/>
      <c r="W192"/>
      <c r="X192"/>
      <c r="Y192" s="73"/>
    </row>
    <row r="193" spans="1:25" s="194" customFormat="1" ht="12.75">
      <c r="A193" s="328"/>
      <c r="B193" s="329" t="s">
        <v>735</v>
      </c>
      <c r="C193" s="328"/>
      <c r="D193" s="328"/>
      <c r="E193" s="202"/>
      <c r="F193" s="196"/>
      <c r="G193" s="196"/>
      <c r="H193" s="330"/>
      <c r="I193" s="331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332"/>
      <c r="U193" s="332"/>
      <c r="V193" s="332"/>
      <c r="W193" s="332"/>
      <c r="X193" s="332"/>
      <c r="Y193" s="332"/>
    </row>
    <row r="194" spans="1:25" s="194" customFormat="1" ht="12.75">
      <c r="A194" s="525">
        <v>1</v>
      </c>
      <c r="B194" s="333" t="s">
        <v>489</v>
      </c>
      <c r="C194" s="493" t="s">
        <v>736</v>
      </c>
      <c r="D194" s="334"/>
      <c r="E194" s="527">
        <v>5193482.11</v>
      </c>
      <c r="F194" s="495" t="s">
        <v>737</v>
      </c>
      <c r="G194" s="260" t="s">
        <v>486</v>
      </c>
      <c r="H194" s="210">
        <v>8537.24</v>
      </c>
      <c r="I194" s="247">
        <v>1785085</v>
      </c>
      <c r="J194" s="212"/>
      <c r="K194" s="212"/>
      <c r="L194" s="212"/>
      <c r="M194" s="212"/>
      <c r="N194" s="212"/>
      <c r="O194" s="212">
        <v>247436.2</v>
      </c>
      <c r="P194" s="212">
        <v>350191.52</v>
      </c>
      <c r="Q194" s="212">
        <v>350191.52</v>
      </c>
      <c r="R194" s="212">
        <v>350191.52</v>
      </c>
      <c r="S194" s="212">
        <v>350191.52</v>
      </c>
      <c r="T194" s="212">
        <v>350191.52</v>
      </c>
      <c r="U194" s="212">
        <v>350191.52</v>
      </c>
      <c r="V194" s="212">
        <v>350191.52</v>
      </c>
      <c r="W194" s="212">
        <v>350191.52</v>
      </c>
      <c r="X194" s="212">
        <v>350180.07</v>
      </c>
      <c r="Y194" s="213">
        <f aca="true" t="shared" si="8" ref="Y194:Y201">SUM(J194:X194)</f>
        <v>3399148.43</v>
      </c>
    </row>
    <row r="195" spans="1:25" s="194" customFormat="1" ht="12.75">
      <c r="A195" s="526"/>
      <c r="B195" s="335" t="s">
        <v>738</v>
      </c>
      <c r="C195" s="494"/>
      <c r="D195" s="336"/>
      <c r="E195" s="528"/>
      <c r="F195" s="496"/>
      <c r="G195" s="261">
        <v>0.00978</v>
      </c>
      <c r="H195" s="218">
        <v>50058</v>
      </c>
      <c r="I195" s="218">
        <v>49234</v>
      </c>
      <c r="J195" s="219">
        <v>33000</v>
      </c>
      <c r="K195" s="219">
        <v>32835</v>
      </c>
      <c r="L195" s="219">
        <v>32835</v>
      </c>
      <c r="M195" s="219">
        <v>32835</v>
      </c>
      <c r="N195" s="219">
        <v>32925</v>
      </c>
      <c r="O195" s="219">
        <v>32815</v>
      </c>
      <c r="P195" s="219">
        <v>30717</v>
      </c>
      <c r="Q195" s="219">
        <v>27245</v>
      </c>
      <c r="R195" s="219">
        <v>23840</v>
      </c>
      <c r="S195" s="219">
        <v>20300</v>
      </c>
      <c r="T195" s="219">
        <v>16830</v>
      </c>
      <c r="U195" s="219">
        <v>13355</v>
      </c>
      <c r="V195" s="219">
        <v>9915</v>
      </c>
      <c r="W195" s="219">
        <v>6410</v>
      </c>
      <c r="X195" s="219">
        <f>2940+195</f>
        <v>3135</v>
      </c>
      <c r="Y195" s="220">
        <f t="shared" si="8"/>
        <v>348992</v>
      </c>
    </row>
    <row r="196" spans="1:25" s="194" customFormat="1" ht="12.75" customHeight="1">
      <c r="A196" s="525">
        <v>2</v>
      </c>
      <c r="B196" s="333" t="s">
        <v>739</v>
      </c>
      <c r="C196" s="493" t="str">
        <f>'[1]03.05.2013.'!C168</f>
        <v>SIA Komunālie pakalpojumi</v>
      </c>
      <c r="D196" s="334"/>
      <c r="E196" s="527">
        <v>435398.77</v>
      </c>
      <c r="F196" s="495" t="s">
        <v>740</v>
      </c>
      <c r="G196" s="260" t="s">
        <v>486</v>
      </c>
      <c r="H196" s="210">
        <v>62885.63</v>
      </c>
      <c r="I196" s="247">
        <v>64486.5</v>
      </c>
      <c r="J196" s="212">
        <v>65980</v>
      </c>
      <c r="K196" s="212">
        <v>67813</v>
      </c>
      <c r="L196" s="212">
        <v>69540</v>
      </c>
      <c r="M196" s="212">
        <v>53315</v>
      </c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3">
        <f t="shared" si="8"/>
        <v>256648</v>
      </c>
    </row>
    <row r="197" spans="1:25" s="194" customFormat="1" ht="13.5" customHeight="1">
      <c r="A197" s="526"/>
      <c r="B197" s="335" t="s">
        <v>741</v>
      </c>
      <c r="C197" s="494"/>
      <c r="D197" s="336"/>
      <c r="E197" s="528"/>
      <c r="F197" s="496"/>
      <c r="G197" s="261">
        <v>0.02577</v>
      </c>
      <c r="H197" s="218">
        <v>8948</v>
      </c>
      <c r="I197" s="218">
        <v>7347</v>
      </c>
      <c r="J197" s="219">
        <v>5141</v>
      </c>
      <c r="K197" s="219">
        <v>3856</v>
      </c>
      <c r="L197" s="219">
        <v>2293</v>
      </c>
      <c r="M197" s="219">
        <v>559</v>
      </c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20">
        <f t="shared" si="8"/>
        <v>11849</v>
      </c>
    </row>
    <row r="198" spans="1:25" s="194" customFormat="1" ht="12.75">
      <c r="A198" s="525">
        <v>3</v>
      </c>
      <c r="B198" s="333" t="s">
        <v>489</v>
      </c>
      <c r="C198" s="493" t="s">
        <v>742</v>
      </c>
      <c r="D198" s="334"/>
      <c r="E198" s="527">
        <v>522193.95</v>
      </c>
      <c r="F198" s="495" t="s">
        <v>743</v>
      </c>
      <c r="G198" s="260" t="s">
        <v>486</v>
      </c>
      <c r="H198" s="210">
        <v>8034.96</v>
      </c>
      <c r="I198" s="247">
        <v>32139.84</v>
      </c>
      <c r="J198" s="212"/>
      <c r="K198" s="212"/>
      <c r="L198" s="212"/>
      <c r="M198" s="212"/>
      <c r="N198" s="212"/>
      <c r="O198" s="212">
        <v>680.05</v>
      </c>
      <c r="P198" s="212">
        <v>32139.84</v>
      </c>
      <c r="Q198" s="212">
        <v>32139.84</v>
      </c>
      <c r="R198" s="212">
        <v>32139.84</v>
      </c>
      <c r="S198" s="212">
        <v>32139.84</v>
      </c>
      <c r="T198" s="212">
        <v>32139.84</v>
      </c>
      <c r="U198" s="212">
        <v>32139.84</v>
      </c>
      <c r="V198" s="212">
        <v>32139.84</v>
      </c>
      <c r="W198" s="212">
        <v>32139.84</v>
      </c>
      <c r="X198" s="212">
        <v>32061.58</v>
      </c>
      <c r="Y198" s="213">
        <f t="shared" si="8"/>
        <v>289860.35</v>
      </c>
    </row>
    <row r="199" spans="1:25" s="194" customFormat="1" ht="12.75">
      <c r="A199" s="526"/>
      <c r="B199" s="335" t="s">
        <v>744</v>
      </c>
      <c r="C199" s="494"/>
      <c r="D199" s="336"/>
      <c r="E199" s="528"/>
      <c r="F199" s="496"/>
      <c r="G199" s="261">
        <v>0.00872</v>
      </c>
      <c r="H199" s="218">
        <v>1277</v>
      </c>
      <c r="I199" s="218">
        <v>4911</v>
      </c>
      <c r="J199" s="219">
        <v>2885</v>
      </c>
      <c r="K199" s="219">
        <v>2850</v>
      </c>
      <c r="L199" s="219">
        <v>2850</v>
      </c>
      <c r="M199" s="219">
        <v>2850</v>
      </c>
      <c r="N199" s="219">
        <v>2855</v>
      </c>
      <c r="O199" s="219">
        <v>2785</v>
      </c>
      <c r="P199" s="219">
        <v>2515</v>
      </c>
      <c r="Q199" s="219">
        <v>2230</v>
      </c>
      <c r="R199" s="219">
        <v>1955</v>
      </c>
      <c r="S199" s="219">
        <v>1665</v>
      </c>
      <c r="T199" s="219">
        <v>1380</v>
      </c>
      <c r="U199" s="219">
        <v>1095</v>
      </c>
      <c r="V199" s="219">
        <v>815</v>
      </c>
      <c r="W199" s="219">
        <v>525</v>
      </c>
      <c r="X199" s="219">
        <v>240</v>
      </c>
      <c r="Y199" s="220">
        <f t="shared" si="8"/>
        <v>29495</v>
      </c>
    </row>
    <row r="200" spans="1:25" s="194" customFormat="1" ht="12.75">
      <c r="A200" s="529">
        <v>4</v>
      </c>
      <c r="B200" s="333" t="s">
        <v>489</v>
      </c>
      <c r="C200" s="493" t="s">
        <v>745</v>
      </c>
      <c r="D200" s="334"/>
      <c r="E200" s="527">
        <v>305000</v>
      </c>
      <c r="F200" s="495" t="s">
        <v>746</v>
      </c>
      <c r="G200" s="260" t="s">
        <v>486</v>
      </c>
      <c r="H200" s="247"/>
      <c r="I200" s="247"/>
      <c r="J200" s="212">
        <v>31265</v>
      </c>
      <c r="K200" s="212">
        <v>31284</v>
      </c>
      <c r="L200" s="212">
        <v>31284</v>
      </c>
      <c r="M200" s="212">
        <v>31284</v>
      </c>
      <c r="N200" s="212">
        <v>31284</v>
      </c>
      <c r="O200" s="212">
        <v>31284</v>
      </c>
      <c r="P200" s="212">
        <v>31284</v>
      </c>
      <c r="Q200" s="212">
        <v>31284</v>
      </c>
      <c r="R200" s="212">
        <v>31284</v>
      </c>
      <c r="S200" s="212">
        <v>23463</v>
      </c>
      <c r="T200" s="212"/>
      <c r="U200" s="212"/>
      <c r="V200" s="212"/>
      <c r="W200" s="212"/>
      <c r="X200" s="212"/>
      <c r="Y200" s="213">
        <f t="shared" si="8"/>
        <v>305000</v>
      </c>
    </row>
    <row r="201" spans="1:25" s="194" customFormat="1" ht="12.75">
      <c r="A201" s="530"/>
      <c r="B201" s="335" t="s">
        <v>747</v>
      </c>
      <c r="C201" s="494"/>
      <c r="D201" s="336"/>
      <c r="E201" s="528"/>
      <c r="F201" s="496"/>
      <c r="G201" s="261">
        <v>0.00655</v>
      </c>
      <c r="H201" s="218"/>
      <c r="I201" s="219"/>
      <c r="J201" s="219">
        <v>2025</v>
      </c>
      <c r="K201" s="219">
        <v>1910</v>
      </c>
      <c r="L201" s="219">
        <v>1690</v>
      </c>
      <c r="M201" s="219">
        <v>1465</v>
      </c>
      <c r="N201" s="219">
        <v>1250</v>
      </c>
      <c r="O201" s="219">
        <v>1025</v>
      </c>
      <c r="P201" s="219">
        <v>800</v>
      </c>
      <c r="Q201" s="219">
        <v>580</v>
      </c>
      <c r="R201" s="219">
        <v>360</v>
      </c>
      <c r="S201" s="219">
        <v>135</v>
      </c>
      <c r="T201" s="219"/>
      <c r="U201" s="219"/>
      <c r="V201" s="219"/>
      <c r="W201" s="219"/>
      <c r="X201" s="219"/>
      <c r="Y201" s="220">
        <f t="shared" si="8"/>
        <v>11240</v>
      </c>
    </row>
    <row r="202" spans="1:25" s="194" customFormat="1" ht="12.75" hidden="1">
      <c r="A202" s="529"/>
      <c r="B202" s="333"/>
      <c r="C202" s="493"/>
      <c r="D202" s="334"/>
      <c r="E202" s="527"/>
      <c r="F202" s="495"/>
      <c r="G202" s="260"/>
      <c r="H202" s="247"/>
      <c r="I202" s="247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356">
        <f>SUM(J202:X202)</f>
        <v>0</v>
      </c>
    </row>
    <row r="203" spans="1:25" s="194" customFormat="1" ht="12.75" hidden="1">
      <c r="A203" s="530"/>
      <c r="B203" s="335"/>
      <c r="C203" s="494"/>
      <c r="D203" s="336"/>
      <c r="E203" s="528"/>
      <c r="F203" s="496"/>
      <c r="G203" s="261"/>
      <c r="H203" s="218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357">
        <f>SUM(J203:X203)</f>
        <v>0</v>
      </c>
    </row>
    <row r="204" spans="1:25" s="194" customFormat="1" ht="12.75">
      <c r="A204" s="287"/>
      <c r="B204" s="515" t="s">
        <v>726</v>
      </c>
      <c r="C204" s="516"/>
      <c r="D204" s="516"/>
      <c r="E204" s="516"/>
      <c r="F204" s="517"/>
      <c r="G204" s="288"/>
      <c r="H204" s="344" t="e">
        <f>#REF!+H194+H196+H198</f>
        <v>#REF!</v>
      </c>
      <c r="I204" s="345" t="e">
        <f>#REF!+I194+I196+I198+I200+I202</f>
        <v>#REF!</v>
      </c>
      <c r="J204" s="289">
        <f>+J194+J196+J198+J200+J202</f>
        <v>97245</v>
      </c>
      <c r="K204" s="289">
        <f aca="true" t="shared" si="9" ref="K204:X205">+K194+K196+K198+K200+K202</f>
        <v>99097</v>
      </c>
      <c r="L204" s="289">
        <f t="shared" si="9"/>
        <v>100824</v>
      </c>
      <c r="M204" s="289">
        <f t="shared" si="9"/>
        <v>84599</v>
      </c>
      <c r="N204" s="289">
        <f t="shared" si="9"/>
        <v>31284</v>
      </c>
      <c r="O204" s="289">
        <f t="shared" si="9"/>
        <v>279400.25</v>
      </c>
      <c r="P204" s="289">
        <f t="shared" si="9"/>
        <v>413615.36000000004</v>
      </c>
      <c r="Q204" s="289">
        <f t="shared" si="9"/>
        <v>413615.36000000004</v>
      </c>
      <c r="R204" s="289">
        <f t="shared" si="9"/>
        <v>413615.36000000004</v>
      </c>
      <c r="S204" s="289">
        <f t="shared" si="9"/>
        <v>405794.36000000004</v>
      </c>
      <c r="T204" s="289">
        <f t="shared" si="9"/>
        <v>382331.36000000004</v>
      </c>
      <c r="U204" s="289">
        <f t="shared" si="9"/>
        <v>382331.36000000004</v>
      </c>
      <c r="V204" s="289">
        <f t="shared" si="9"/>
        <v>382331.36000000004</v>
      </c>
      <c r="W204" s="289">
        <f t="shared" si="9"/>
        <v>382331.36000000004</v>
      </c>
      <c r="X204" s="289">
        <f t="shared" si="9"/>
        <v>382241.65</v>
      </c>
      <c r="Y204" s="290">
        <f>+Y194+Y196+Y198+Y200+Y202</f>
        <v>4250656.78</v>
      </c>
    </row>
    <row r="205" spans="1:25" s="194" customFormat="1" ht="13.5" thickBot="1">
      <c r="A205" s="291"/>
      <c r="B205" s="518" t="s">
        <v>727</v>
      </c>
      <c r="C205" s="518"/>
      <c r="D205" s="518"/>
      <c r="E205" s="518"/>
      <c r="F205" s="518"/>
      <c r="G205" s="337"/>
      <c r="H205" s="338" t="e">
        <f>#REF!+H195+H197+H199</f>
        <v>#REF!</v>
      </c>
      <c r="I205" s="338" t="e">
        <f>#REF!+I195+I197+I199+I201+I203</f>
        <v>#REF!</v>
      </c>
      <c r="J205" s="338">
        <f>+J195+J197+J199+J201+J203</f>
        <v>43051</v>
      </c>
      <c r="K205" s="338">
        <f t="shared" si="9"/>
        <v>41451</v>
      </c>
      <c r="L205" s="338">
        <f t="shared" si="9"/>
        <v>39668</v>
      </c>
      <c r="M205" s="338">
        <f t="shared" si="9"/>
        <v>37709</v>
      </c>
      <c r="N205" s="338">
        <f t="shared" si="9"/>
        <v>37030</v>
      </c>
      <c r="O205" s="338">
        <f t="shared" si="9"/>
        <v>36625</v>
      </c>
      <c r="P205" s="338">
        <f t="shared" si="9"/>
        <v>34032</v>
      </c>
      <c r="Q205" s="338">
        <f t="shared" si="9"/>
        <v>30055</v>
      </c>
      <c r="R205" s="338">
        <f t="shared" si="9"/>
        <v>26155</v>
      </c>
      <c r="S205" s="338">
        <f t="shared" si="9"/>
        <v>22100</v>
      </c>
      <c r="T205" s="338">
        <f t="shared" si="9"/>
        <v>18210</v>
      </c>
      <c r="U205" s="338">
        <f t="shared" si="9"/>
        <v>14450</v>
      </c>
      <c r="V205" s="338">
        <f t="shared" si="9"/>
        <v>10730</v>
      </c>
      <c r="W205" s="338">
        <f t="shared" si="9"/>
        <v>6935</v>
      </c>
      <c r="X205" s="338">
        <f t="shared" si="9"/>
        <v>3375</v>
      </c>
      <c r="Y205" s="359">
        <f>+Y195+Y197+Y199+Y201+Y203</f>
        <v>401576</v>
      </c>
    </row>
    <row r="206" spans="1:25" s="194" customFormat="1" ht="13.5" thickTop="1">
      <c r="A206" s="339"/>
      <c r="B206" s="531" t="s">
        <v>748</v>
      </c>
      <c r="C206" s="532"/>
      <c r="D206" s="532"/>
      <c r="E206" s="532"/>
      <c r="F206" s="532"/>
      <c r="G206" s="340"/>
      <c r="H206" s="341" t="e">
        <f>SUM(H204:H205)</f>
        <v>#REF!</v>
      </c>
      <c r="I206" s="342" t="e">
        <f>SUM(I204:I205)</f>
        <v>#REF!</v>
      </c>
      <c r="J206" s="361">
        <f aca="true" t="shared" si="10" ref="J206:X206">SUM(J204:J205)</f>
        <v>140296</v>
      </c>
      <c r="K206" s="361">
        <f t="shared" si="10"/>
        <v>140548</v>
      </c>
      <c r="L206" s="361">
        <f t="shared" si="10"/>
        <v>140492</v>
      </c>
      <c r="M206" s="361">
        <f t="shared" si="10"/>
        <v>122308</v>
      </c>
      <c r="N206" s="361">
        <f t="shared" si="10"/>
        <v>68314</v>
      </c>
      <c r="O206" s="361">
        <f t="shared" si="10"/>
        <v>316025.25</v>
      </c>
      <c r="P206" s="361">
        <f t="shared" si="10"/>
        <v>447647.36000000004</v>
      </c>
      <c r="Q206" s="361">
        <f t="shared" si="10"/>
        <v>443670.36000000004</v>
      </c>
      <c r="R206" s="361">
        <f t="shared" si="10"/>
        <v>439770.36000000004</v>
      </c>
      <c r="S206" s="361">
        <f t="shared" si="10"/>
        <v>427894.36000000004</v>
      </c>
      <c r="T206" s="361">
        <f t="shared" si="10"/>
        <v>400541.36000000004</v>
      </c>
      <c r="U206" s="361">
        <f t="shared" si="10"/>
        <v>396781.36000000004</v>
      </c>
      <c r="V206" s="361">
        <f t="shared" si="10"/>
        <v>393061.36000000004</v>
      </c>
      <c r="W206" s="361">
        <f t="shared" si="10"/>
        <v>389266.36000000004</v>
      </c>
      <c r="X206" s="361">
        <f t="shared" si="10"/>
        <v>385616.65</v>
      </c>
      <c r="Y206" s="362">
        <f>SUM(Y204:Y205)</f>
        <v>4652232.78</v>
      </c>
    </row>
    <row r="207" spans="20:24" ht="12.75">
      <c r="T207" s="325"/>
      <c r="U207" s="325"/>
      <c r="V207" s="325"/>
      <c r="W207" s="325"/>
      <c r="X207" s="325"/>
    </row>
    <row r="208" spans="1:25" s="194" customFormat="1" ht="12" customHeight="1">
      <c r="A208"/>
      <c r="B208" s="249"/>
      <c r="C208" s="343" t="s">
        <v>749</v>
      </c>
      <c r="D208" s="343"/>
      <c r="E208" s="202"/>
      <c r="F208"/>
      <c r="G208"/>
      <c r="H208"/>
      <c r="I208" s="325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194" customFormat="1" ht="12.75">
      <c r="A209" s="287"/>
      <c r="B209" s="515" t="s">
        <v>750</v>
      </c>
      <c r="C209" s="516"/>
      <c r="D209" s="516"/>
      <c r="E209" s="516"/>
      <c r="F209" s="517"/>
      <c r="G209" s="288"/>
      <c r="H209" s="344" t="e">
        <f aca="true" t="shared" si="11" ref="H209:X210">H184+H204</f>
        <v>#REF!</v>
      </c>
      <c r="I209" s="345" t="e">
        <f t="shared" si="11"/>
        <v>#REF!</v>
      </c>
      <c r="J209" s="344">
        <f t="shared" si="11"/>
        <v>5023685.500000001</v>
      </c>
      <c r="K209" s="344">
        <f t="shared" si="11"/>
        <v>4190294.750000001</v>
      </c>
      <c r="L209" s="344">
        <f t="shared" si="11"/>
        <v>4800732.18</v>
      </c>
      <c r="M209" s="344">
        <f t="shared" si="11"/>
        <v>5311759.57</v>
      </c>
      <c r="N209" s="344">
        <f t="shared" si="11"/>
        <v>5639036.83</v>
      </c>
      <c r="O209" s="344">
        <f t="shared" si="11"/>
        <v>5705559.150000001</v>
      </c>
      <c r="P209" s="344">
        <f t="shared" si="11"/>
        <v>5090721.540000002</v>
      </c>
      <c r="Q209" s="344">
        <f t="shared" si="11"/>
        <v>4705360.080000001</v>
      </c>
      <c r="R209" s="344">
        <f t="shared" si="11"/>
        <v>4422149.89</v>
      </c>
      <c r="S209" s="344">
        <f t="shared" si="11"/>
        <v>4317696.7700000005</v>
      </c>
      <c r="T209" s="344">
        <f t="shared" si="11"/>
        <v>3901065.63</v>
      </c>
      <c r="U209" s="344">
        <f t="shared" si="11"/>
        <v>2149155.04</v>
      </c>
      <c r="V209" s="344">
        <f t="shared" si="11"/>
        <v>1630141.08</v>
      </c>
      <c r="W209" s="344">
        <f t="shared" si="11"/>
        <v>1432146.2700000003</v>
      </c>
      <c r="X209" s="344">
        <f t="shared" si="11"/>
        <v>4251933.37</v>
      </c>
      <c r="Y209" s="346">
        <f>SUM(J209:X209)</f>
        <v>62571437.650000006</v>
      </c>
    </row>
    <row r="210" spans="1:25" s="194" customFormat="1" ht="13.5" thickBot="1">
      <c r="A210" s="291"/>
      <c r="B210" s="518" t="s">
        <v>727</v>
      </c>
      <c r="C210" s="518"/>
      <c r="D210" s="518"/>
      <c r="E210" s="518"/>
      <c r="F210" s="518"/>
      <c r="G210" s="337"/>
      <c r="H210" s="338" t="e">
        <f t="shared" si="11"/>
        <v>#REF!</v>
      </c>
      <c r="I210" s="293" t="e">
        <f t="shared" si="11"/>
        <v>#REF!</v>
      </c>
      <c r="J210" s="338">
        <f t="shared" si="11"/>
        <v>343051</v>
      </c>
      <c r="K210" s="338">
        <f t="shared" si="11"/>
        <v>308361</v>
      </c>
      <c r="L210" s="338">
        <f t="shared" si="11"/>
        <v>286338</v>
      </c>
      <c r="M210" s="338">
        <f t="shared" si="11"/>
        <v>250654</v>
      </c>
      <c r="N210" s="338">
        <f t="shared" si="11"/>
        <v>232885</v>
      </c>
      <c r="O210" s="338">
        <f t="shared" si="11"/>
        <v>203810</v>
      </c>
      <c r="P210" s="338">
        <f t="shared" si="11"/>
        <v>173912</v>
      </c>
      <c r="Q210" s="338">
        <f t="shared" si="11"/>
        <v>146780</v>
      </c>
      <c r="R210" s="338">
        <f t="shared" si="11"/>
        <v>121645</v>
      </c>
      <c r="S210" s="338">
        <f t="shared" si="11"/>
        <v>96965</v>
      </c>
      <c r="T210" s="338">
        <f t="shared" si="11"/>
        <v>73460</v>
      </c>
      <c r="U210" s="338">
        <f t="shared" si="11"/>
        <v>53155</v>
      </c>
      <c r="V210" s="338">
        <f t="shared" si="11"/>
        <v>41270</v>
      </c>
      <c r="W210" s="338">
        <f t="shared" si="11"/>
        <v>31155</v>
      </c>
      <c r="X210" s="338">
        <f t="shared" si="11"/>
        <v>55170</v>
      </c>
      <c r="Y210" s="347">
        <f>SUM(J210:X210)</f>
        <v>2418611</v>
      </c>
    </row>
    <row r="211" spans="1:25" s="194" customFormat="1" ht="13.5" thickTop="1">
      <c r="A211" s="295"/>
      <c r="B211" s="519" t="s">
        <v>482</v>
      </c>
      <c r="C211" s="520"/>
      <c r="D211" s="520"/>
      <c r="E211" s="520"/>
      <c r="F211" s="520"/>
      <c r="G211" s="296"/>
      <c r="H211" s="297" t="e">
        <f>SUM(H209:H210)</f>
        <v>#REF!</v>
      </c>
      <c r="I211" s="298" t="e">
        <f>SUM(I209:I210)</f>
        <v>#REF!</v>
      </c>
      <c r="J211" s="297">
        <f aca="true" t="shared" si="12" ref="J211:W211">SUM(J209:J210)</f>
        <v>5366736.500000001</v>
      </c>
      <c r="K211" s="297">
        <f t="shared" si="12"/>
        <v>4498655.750000001</v>
      </c>
      <c r="L211" s="297">
        <f t="shared" si="12"/>
        <v>5087070.18</v>
      </c>
      <c r="M211" s="297">
        <f t="shared" si="12"/>
        <v>5562413.57</v>
      </c>
      <c r="N211" s="297">
        <f t="shared" si="12"/>
        <v>5871921.83</v>
      </c>
      <c r="O211" s="297">
        <f t="shared" si="12"/>
        <v>5909369.150000001</v>
      </c>
      <c r="P211" s="297">
        <f t="shared" si="12"/>
        <v>5264633.540000002</v>
      </c>
      <c r="Q211" s="297">
        <f t="shared" si="12"/>
        <v>4852140.080000001</v>
      </c>
      <c r="R211" s="297">
        <f t="shared" si="12"/>
        <v>4543794.89</v>
      </c>
      <c r="S211" s="297">
        <f t="shared" si="12"/>
        <v>4414661.7700000005</v>
      </c>
      <c r="T211" s="297">
        <f t="shared" si="12"/>
        <v>3974525.63</v>
      </c>
      <c r="U211" s="297">
        <f t="shared" si="12"/>
        <v>2202310.04</v>
      </c>
      <c r="V211" s="297">
        <f t="shared" si="12"/>
        <v>1671411.08</v>
      </c>
      <c r="W211" s="297">
        <f t="shared" si="12"/>
        <v>1463301.2700000003</v>
      </c>
      <c r="X211" s="297">
        <f>SUM(X209:X210)</f>
        <v>4307103.37</v>
      </c>
      <c r="Y211" s="348">
        <f>SUM(Y209:Y210)</f>
        <v>64990048.650000006</v>
      </c>
    </row>
    <row r="212" spans="1:25" s="194" customFormat="1" ht="12.75">
      <c r="A212" s="300"/>
      <c r="B212" s="521" t="s">
        <v>729</v>
      </c>
      <c r="C212" s="522"/>
      <c r="D212" s="301"/>
      <c r="E212" s="302" t="s">
        <v>730</v>
      </c>
      <c r="F212" s="303">
        <f>F187</f>
        <v>45322422</v>
      </c>
      <c r="G212" s="304" t="s">
        <v>731</v>
      </c>
      <c r="H212" s="305" t="e">
        <f aca="true" t="shared" si="13" ref="H212:X212">SUM(H211/$F$212)</f>
        <v>#REF!</v>
      </c>
      <c r="I212" s="306" t="e">
        <f t="shared" si="13"/>
        <v>#REF!</v>
      </c>
      <c r="J212" s="305">
        <f t="shared" si="13"/>
        <v>0.11841239420082186</v>
      </c>
      <c r="K212" s="305">
        <f t="shared" si="13"/>
        <v>0.09925894406084479</v>
      </c>
      <c r="L212" s="305">
        <f t="shared" si="13"/>
        <v>0.11224179899300174</v>
      </c>
      <c r="M212" s="305">
        <f t="shared" si="13"/>
        <v>0.12272983932765112</v>
      </c>
      <c r="N212" s="305">
        <f t="shared" si="13"/>
        <v>0.12955887110357872</v>
      </c>
      <c r="O212" s="305">
        <f t="shared" si="13"/>
        <v>0.13038511379643394</v>
      </c>
      <c r="P212" s="305">
        <f t="shared" si="13"/>
        <v>0.11615958079204156</v>
      </c>
      <c r="Q212" s="305">
        <f t="shared" si="13"/>
        <v>0.10705826974560188</v>
      </c>
      <c r="R212" s="305">
        <f t="shared" si="13"/>
        <v>0.10025490010220547</v>
      </c>
      <c r="S212" s="305">
        <f t="shared" si="13"/>
        <v>0.09740568961649933</v>
      </c>
      <c r="T212" s="305">
        <f t="shared" si="13"/>
        <v>0.08769446676967087</v>
      </c>
      <c r="U212" s="305">
        <f t="shared" si="13"/>
        <v>0.04859206421051373</v>
      </c>
      <c r="V212" s="307">
        <f t="shared" si="13"/>
        <v>0.036878238325392235</v>
      </c>
      <c r="W212" s="307">
        <f t="shared" si="13"/>
        <v>0.03228647555507957</v>
      </c>
      <c r="X212" s="307">
        <f t="shared" si="13"/>
        <v>0.09503250664759266</v>
      </c>
      <c r="Y212" s="360"/>
    </row>
    <row r="213" spans="1:25" s="194" customFormat="1" ht="12.75">
      <c r="A213"/>
      <c r="B213" s="249"/>
      <c r="C213" s="202"/>
      <c r="D213" s="202"/>
      <c r="E213" s="202"/>
      <c r="F213" s="309"/>
      <c r="G213" s="310"/>
      <c r="H213" s="311"/>
      <c r="I213" s="309"/>
      <c r="J213" s="311"/>
      <c r="K213" s="311"/>
      <c r="L213" s="311"/>
      <c r="M213" s="311"/>
      <c r="N213" s="349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/>
    </row>
    <row r="214" spans="1:25" s="194" customFormat="1" ht="15.75">
      <c r="A214"/>
      <c r="B214" s="249"/>
      <c r="C214" s="202"/>
      <c r="D214" s="202"/>
      <c r="E214" s="202"/>
      <c r="F214"/>
      <c r="G214"/>
      <c r="H214"/>
      <c r="I214" s="325"/>
      <c r="J214"/>
      <c r="K214"/>
      <c r="L214"/>
      <c r="M214"/>
      <c r="N214" s="349"/>
      <c r="O214"/>
      <c r="P214"/>
      <c r="Q214"/>
      <c r="R214"/>
      <c r="S214"/>
      <c r="T214"/>
      <c r="U214"/>
      <c r="V214"/>
      <c r="W214"/>
      <c r="X214" s="350"/>
      <c r="Y214"/>
    </row>
    <row r="215" spans="1:25" s="194" customFormat="1" ht="15.75">
      <c r="A215"/>
      <c r="B215" s="249"/>
      <c r="C215" s="202"/>
      <c r="D215" s="202"/>
      <c r="E215" s="202"/>
      <c r="F215"/>
      <c r="G215"/>
      <c r="H215"/>
      <c r="I215" s="32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350"/>
      <c r="Y215"/>
    </row>
    <row r="216" spans="1:25" s="194" customFormat="1" ht="12.75">
      <c r="A216"/>
      <c r="B216" s="249"/>
      <c r="C216" s="202"/>
      <c r="D216" s="202"/>
      <c r="E216" s="202"/>
      <c r="F216"/>
      <c r="G216"/>
      <c r="H216"/>
      <c r="I216" s="325"/>
      <c r="J216"/>
      <c r="K216"/>
      <c r="L216"/>
      <c r="M216"/>
      <c r="N216" s="202"/>
      <c r="O216"/>
      <c r="P216"/>
      <c r="Q216"/>
      <c r="R216"/>
      <c r="S216"/>
      <c r="T216"/>
      <c r="U216"/>
      <c r="V216"/>
      <c r="W216"/>
      <c r="X216"/>
      <c r="Y216"/>
    </row>
    <row r="217" spans="1:25" s="194" customFormat="1" ht="18.75">
      <c r="A217"/>
      <c r="B217" s="249"/>
      <c r="C217" s="202"/>
      <c r="D217" s="202"/>
      <c r="E217" s="202"/>
      <c r="F217"/>
      <c r="G217"/>
      <c r="H217"/>
      <c r="I217" s="325"/>
      <c r="J217"/>
      <c r="K217"/>
      <c r="L217"/>
      <c r="M217"/>
      <c r="N217" s="351"/>
      <c r="O217"/>
      <c r="P217" s="4" t="s">
        <v>27</v>
      </c>
      <c r="Q217" s="75"/>
      <c r="R217" s="327"/>
      <c r="S217"/>
      <c r="T217"/>
      <c r="U217"/>
      <c r="V217"/>
      <c r="W217"/>
      <c r="X217" s="73" t="s">
        <v>83</v>
      </c>
      <c r="Y217"/>
    </row>
    <row r="218" spans="1:25" s="194" customFormat="1" ht="15.75">
      <c r="A218"/>
      <c r="B218" s="249"/>
      <c r="C218" s="202"/>
      <c r="D218" s="202"/>
      <c r="E218" s="202"/>
      <c r="F218"/>
      <c r="G218"/>
      <c r="H218"/>
      <c r="I218" s="325"/>
      <c r="J218"/>
      <c r="K218"/>
      <c r="L218"/>
      <c r="M218"/>
      <c r="N218" s="26"/>
      <c r="O218" s="352"/>
      <c r="P218" s="351"/>
      <c r="Q218" s="353"/>
      <c r="R218" s="353"/>
      <c r="S218" s="353"/>
      <c r="T218" s="353"/>
      <c r="U218" s="353"/>
      <c r="V218" s="353"/>
      <c r="W218" s="353"/>
      <c r="X218" s="53"/>
      <c r="Y218"/>
    </row>
    <row r="219" spans="1:25" s="194" customFormat="1" ht="15">
      <c r="A219"/>
      <c r="B219" s="249"/>
      <c r="C219" s="26"/>
      <c r="D219" s="26"/>
      <c r="E219" s="2"/>
      <c r="F219" s="2"/>
      <c r="G219" s="53"/>
      <c r="H219" s="53"/>
      <c r="I219" s="354"/>
      <c r="J219" s="53"/>
      <c r="K219" s="53"/>
      <c r="L219" s="53"/>
      <c r="M219" s="53"/>
      <c r="N219"/>
      <c r="O219"/>
      <c r="P219" s="2"/>
      <c r="Q219" s="53"/>
      <c r="R219" s="53"/>
      <c r="S219" s="53"/>
      <c r="T219" s="53"/>
      <c r="U219" s="53"/>
      <c r="V219" s="53"/>
      <c r="W219" s="53"/>
      <c r="X219"/>
      <c r="Y219"/>
    </row>
    <row r="220" spans="1:25" s="194" customFormat="1" ht="15">
      <c r="A220"/>
      <c r="B220" s="26"/>
      <c r="C220" s="26"/>
      <c r="D220" s="26"/>
      <c r="E220" s="2"/>
      <c r="F220" s="2"/>
      <c r="G220" s="53"/>
      <c r="H220" s="53"/>
      <c r="I220" s="354"/>
      <c r="J220" s="53"/>
      <c r="K220" s="53"/>
      <c r="L220" s="53"/>
      <c r="M220" s="53"/>
      <c r="N220"/>
      <c r="O220" s="355"/>
      <c r="P220"/>
      <c r="Q220"/>
      <c r="R220"/>
      <c r="S220"/>
      <c r="T220"/>
      <c r="U220"/>
      <c r="V220"/>
      <c r="W220"/>
      <c r="X220"/>
      <c r="Y220"/>
    </row>
    <row r="221" spans="2:13" ht="15">
      <c r="B221" s="26"/>
      <c r="C221" s="26"/>
      <c r="D221" s="26"/>
      <c r="E221" s="2"/>
      <c r="F221" s="2"/>
      <c r="G221" s="53"/>
      <c r="H221" s="53"/>
      <c r="I221" s="354"/>
      <c r="J221" s="53"/>
      <c r="K221" s="53"/>
      <c r="L221" s="53"/>
      <c r="M221" s="53"/>
    </row>
    <row r="222" spans="2:13" ht="15">
      <c r="B222" s="26"/>
      <c r="C222" s="26"/>
      <c r="D222" s="26"/>
      <c r="E222" s="2"/>
      <c r="F222" s="2"/>
      <c r="G222" s="53"/>
      <c r="H222" s="53"/>
      <c r="I222" s="354"/>
      <c r="J222" s="53"/>
      <c r="K222" s="53"/>
      <c r="L222" s="53"/>
      <c r="M222" s="53"/>
    </row>
    <row r="223" spans="3:13" ht="15">
      <c r="C223" s="26"/>
      <c r="D223" s="26"/>
      <c r="E223" s="2"/>
      <c r="F223" s="2"/>
      <c r="G223" s="53"/>
      <c r="H223" s="53"/>
      <c r="I223" s="354"/>
      <c r="J223" s="53"/>
      <c r="K223" s="53"/>
      <c r="L223" s="53"/>
      <c r="M223" s="53"/>
    </row>
    <row r="224" spans="3:13" ht="15">
      <c r="C224" s="26"/>
      <c r="D224" s="26"/>
      <c r="E224" s="2"/>
      <c r="F224" s="2"/>
      <c r="G224" s="53"/>
      <c r="H224" s="53"/>
      <c r="I224" s="354"/>
      <c r="J224" s="53"/>
      <c r="K224" s="53"/>
      <c r="L224" s="53"/>
      <c r="M224" s="53"/>
    </row>
  </sheetData>
  <sheetProtection/>
  <mergeCells count="435">
    <mergeCell ref="B212:C212"/>
    <mergeCell ref="B204:F204"/>
    <mergeCell ref="B205:F205"/>
    <mergeCell ref="B206:F206"/>
    <mergeCell ref="B209:F209"/>
    <mergeCell ref="B210:F210"/>
    <mergeCell ref="B211:F211"/>
    <mergeCell ref="A200:A201"/>
    <mergeCell ref="C200:C201"/>
    <mergeCell ref="E200:E201"/>
    <mergeCell ref="F200:F201"/>
    <mergeCell ref="A202:A203"/>
    <mergeCell ref="C202:C203"/>
    <mergeCell ref="E202:E203"/>
    <mergeCell ref="F202:F203"/>
    <mergeCell ref="A196:A197"/>
    <mergeCell ref="C196:C197"/>
    <mergeCell ref="E196:E197"/>
    <mergeCell ref="F196:F197"/>
    <mergeCell ref="A198:A199"/>
    <mergeCell ref="C198:C199"/>
    <mergeCell ref="E198:E199"/>
    <mergeCell ref="F198:F199"/>
    <mergeCell ref="E191:G191"/>
    <mergeCell ref="E192:G192"/>
    <mergeCell ref="A194:A195"/>
    <mergeCell ref="C194:C195"/>
    <mergeCell ref="E194:E195"/>
    <mergeCell ref="F194:F195"/>
    <mergeCell ref="B184:F184"/>
    <mergeCell ref="B185:F185"/>
    <mergeCell ref="B186:F186"/>
    <mergeCell ref="B187:C187"/>
    <mergeCell ref="E189:G189"/>
    <mergeCell ref="E190:G190"/>
    <mergeCell ref="A180:A181"/>
    <mergeCell ref="C180:C181"/>
    <mergeCell ref="D180:D181"/>
    <mergeCell ref="E180:E181"/>
    <mergeCell ref="F180:F181"/>
    <mergeCell ref="A182:A183"/>
    <mergeCell ref="C182:C183"/>
    <mergeCell ref="D182:D183"/>
    <mergeCell ref="E182:E183"/>
    <mergeCell ref="F182:F183"/>
    <mergeCell ref="A176:A177"/>
    <mergeCell ref="C176:C177"/>
    <mergeCell ref="D176:D177"/>
    <mergeCell ref="E176:E177"/>
    <mergeCell ref="F176:F177"/>
    <mergeCell ref="A178:A179"/>
    <mergeCell ref="C178:C179"/>
    <mergeCell ref="D178:D179"/>
    <mergeCell ref="E178:E179"/>
    <mergeCell ref="F178:F179"/>
    <mergeCell ref="A172:A173"/>
    <mergeCell ref="C172:C173"/>
    <mergeCell ref="D172:D173"/>
    <mergeCell ref="E172:E173"/>
    <mergeCell ref="F172:F173"/>
    <mergeCell ref="A174:A175"/>
    <mergeCell ref="C174:C175"/>
    <mergeCell ref="D174:D175"/>
    <mergeCell ref="E174:E175"/>
    <mergeCell ref="F174:F175"/>
    <mergeCell ref="A168:A169"/>
    <mergeCell ref="C168:C169"/>
    <mergeCell ref="D168:D169"/>
    <mergeCell ref="E168:E169"/>
    <mergeCell ref="F168:F169"/>
    <mergeCell ref="A170:A171"/>
    <mergeCell ref="C170:C171"/>
    <mergeCell ref="D170:D171"/>
    <mergeCell ref="E170:E171"/>
    <mergeCell ref="F170:F171"/>
    <mergeCell ref="A164:A165"/>
    <mergeCell ref="C164:C165"/>
    <mergeCell ref="D164:D165"/>
    <mergeCell ref="E164:E165"/>
    <mergeCell ref="F164:F165"/>
    <mergeCell ref="A166:A167"/>
    <mergeCell ref="C166:C167"/>
    <mergeCell ref="D166:D167"/>
    <mergeCell ref="E166:E167"/>
    <mergeCell ref="F166:F167"/>
    <mergeCell ref="A160:A161"/>
    <mergeCell ref="C160:C161"/>
    <mergeCell ref="D160:D161"/>
    <mergeCell ref="E160:E161"/>
    <mergeCell ref="F160:F161"/>
    <mergeCell ref="A162:A163"/>
    <mergeCell ref="C162:C163"/>
    <mergeCell ref="D162:D163"/>
    <mergeCell ref="E162:E163"/>
    <mergeCell ref="F162:F163"/>
    <mergeCell ref="A156:A157"/>
    <mergeCell ref="C156:C157"/>
    <mergeCell ref="D156:D157"/>
    <mergeCell ref="E156:E157"/>
    <mergeCell ref="F156:F157"/>
    <mergeCell ref="A158:A159"/>
    <mergeCell ref="C158:C159"/>
    <mergeCell ref="D158:D159"/>
    <mergeCell ref="E158:E159"/>
    <mergeCell ref="F158:F159"/>
    <mergeCell ref="A152:A153"/>
    <mergeCell ref="C152:C153"/>
    <mergeCell ref="D152:D153"/>
    <mergeCell ref="E152:E153"/>
    <mergeCell ref="F152:F153"/>
    <mergeCell ref="A154:A155"/>
    <mergeCell ref="C154:C155"/>
    <mergeCell ref="D154:D155"/>
    <mergeCell ref="E154:E155"/>
    <mergeCell ref="F154:F155"/>
    <mergeCell ref="A148:A149"/>
    <mergeCell ref="C148:C149"/>
    <mergeCell ref="D148:D149"/>
    <mergeCell ref="E148:E149"/>
    <mergeCell ref="F148:F149"/>
    <mergeCell ref="A150:A151"/>
    <mergeCell ref="C150:C151"/>
    <mergeCell ref="D150:D151"/>
    <mergeCell ref="E150:E151"/>
    <mergeCell ref="F150:F151"/>
    <mergeCell ref="A144:A145"/>
    <mergeCell ref="C144:C145"/>
    <mergeCell ref="D144:D145"/>
    <mergeCell ref="E144:E145"/>
    <mergeCell ref="F144:F145"/>
    <mergeCell ref="A146:A147"/>
    <mergeCell ref="C146:C147"/>
    <mergeCell ref="D146:D147"/>
    <mergeCell ref="E146:E147"/>
    <mergeCell ref="F146:F147"/>
    <mergeCell ref="A140:A141"/>
    <mergeCell ref="C140:C141"/>
    <mergeCell ref="D140:D141"/>
    <mergeCell ref="E140:E141"/>
    <mergeCell ref="F140:F141"/>
    <mergeCell ref="A142:A143"/>
    <mergeCell ref="C142:C143"/>
    <mergeCell ref="D142:D143"/>
    <mergeCell ref="E142:E143"/>
    <mergeCell ref="F142:F143"/>
    <mergeCell ref="A136:A137"/>
    <mergeCell ref="C136:C137"/>
    <mergeCell ref="D136:D137"/>
    <mergeCell ref="E136:E137"/>
    <mergeCell ref="F136:F137"/>
    <mergeCell ref="A138:A139"/>
    <mergeCell ref="C138:C139"/>
    <mergeCell ref="D138:D139"/>
    <mergeCell ref="E138:E139"/>
    <mergeCell ref="F138:F139"/>
    <mergeCell ref="A132:A133"/>
    <mergeCell ref="C132:C133"/>
    <mergeCell ref="D132:D133"/>
    <mergeCell ref="E132:E133"/>
    <mergeCell ref="F132:F133"/>
    <mergeCell ref="A134:A135"/>
    <mergeCell ref="C134:C135"/>
    <mergeCell ref="D134:D135"/>
    <mergeCell ref="E134:E135"/>
    <mergeCell ref="F134:F135"/>
    <mergeCell ref="A128:A129"/>
    <mergeCell ref="C128:C129"/>
    <mergeCell ref="D128:D129"/>
    <mergeCell ref="E128:E129"/>
    <mergeCell ref="F128:F129"/>
    <mergeCell ref="A130:A131"/>
    <mergeCell ref="C130:C131"/>
    <mergeCell ref="D130:D131"/>
    <mergeCell ref="E130:E131"/>
    <mergeCell ref="F130:F131"/>
    <mergeCell ref="A124:A125"/>
    <mergeCell ref="C124:C125"/>
    <mergeCell ref="D124:D125"/>
    <mergeCell ref="E124:E125"/>
    <mergeCell ref="F124:F125"/>
    <mergeCell ref="A126:A127"/>
    <mergeCell ref="C126:C127"/>
    <mergeCell ref="D126:D127"/>
    <mergeCell ref="E126:E127"/>
    <mergeCell ref="F126:F127"/>
    <mergeCell ref="A120:A121"/>
    <mergeCell ref="C120:C121"/>
    <mergeCell ref="D120:D121"/>
    <mergeCell ref="E120:E121"/>
    <mergeCell ref="F120:F121"/>
    <mergeCell ref="A122:A123"/>
    <mergeCell ref="C122:C123"/>
    <mergeCell ref="D122:D123"/>
    <mergeCell ref="E122:E123"/>
    <mergeCell ref="F122:F123"/>
    <mergeCell ref="A116:A117"/>
    <mergeCell ref="C116:C117"/>
    <mergeCell ref="D116:D117"/>
    <mergeCell ref="E116:E117"/>
    <mergeCell ref="F116:F117"/>
    <mergeCell ref="A118:A119"/>
    <mergeCell ref="C118:C119"/>
    <mergeCell ref="D118:D119"/>
    <mergeCell ref="E118:E119"/>
    <mergeCell ref="F118:F119"/>
    <mergeCell ref="A112:A113"/>
    <mergeCell ref="C112:C113"/>
    <mergeCell ref="D112:D113"/>
    <mergeCell ref="E112:E113"/>
    <mergeCell ref="F112:F113"/>
    <mergeCell ref="A114:A115"/>
    <mergeCell ref="C114:C115"/>
    <mergeCell ref="D114:D115"/>
    <mergeCell ref="E114:E115"/>
    <mergeCell ref="F114:F115"/>
    <mergeCell ref="A108:A109"/>
    <mergeCell ref="C108:C109"/>
    <mergeCell ref="D108:D109"/>
    <mergeCell ref="E108:E109"/>
    <mergeCell ref="F108:F109"/>
    <mergeCell ref="A110:A111"/>
    <mergeCell ref="C110:C111"/>
    <mergeCell ref="D110:D111"/>
    <mergeCell ref="E110:E111"/>
    <mergeCell ref="F110:F111"/>
    <mergeCell ref="A104:A105"/>
    <mergeCell ref="C104:C105"/>
    <mergeCell ref="D104:D105"/>
    <mergeCell ref="E104:E105"/>
    <mergeCell ref="F104:F105"/>
    <mergeCell ref="A106:A107"/>
    <mergeCell ref="C106:C107"/>
    <mergeCell ref="D106:D107"/>
    <mergeCell ref="E106:E107"/>
    <mergeCell ref="F106:F107"/>
    <mergeCell ref="A100:A101"/>
    <mergeCell ref="C100:C101"/>
    <mergeCell ref="D100:D101"/>
    <mergeCell ref="E100:E101"/>
    <mergeCell ref="F100:F101"/>
    <mergeCell ref="A102:A103"/>
    <mergeCell ref="C102:C103"/>
    <mergeCell ref="D102:D103"/>
    <mergeCell ref="E102:E103"/>
    <mergeCell ref="F102:F103"/>
    <mergeCell ref="F96:F97"/>
    <mergeCell ref="A98:A99"/>
    <mergeCell ref="C98:C99"/>
    <mergeCell ref="D98:D99"/>
    <mergeCell ref="E98:E99"/>
    <mergeCell ref="F98:F99"/>
    <mergeCell ref="A94:A95"/>
    <mergeCell ref="C94:C95"/>
    <mergeCell ref="D94:D95"/>
    <mergeCell ref="E94:E95"/>
    <mergeCell ref="A96:A97"/>
    <mergeCell ref="C96:C97"/>
    <mergeCell ref="D96:D97"/>
    <mergeCell ref="E96:E97"/>
    <mergeCell ref="A90:A91"/>
    <mergeCell ref="C90:C91"/>
    <mergeCell ref="D90:D91"/>
    <mergeCell ref="E90:E91"/>
    <mergeCell ref="A92:A93"/>
    <mergeCell ref="C92:C93"/>
    <mergeCell ref="D92:D93"/>
    <mergeCell ref="E92:E93"/>
    <mergeCell ref="A86:A87"/>
    <mergeCell ref="C86:C87"/>
    <mergeCell ref="D86:D87"/>
    <mergeCell ref="E86:E87"/>
    <mergeCell ref="A88:A89"/>
    <mergeCell ref="C88:C89"/>
    <mergeCell ref="D88:D89"/>
    <mergeCell ref="E88:E89"/>
    <mergeCell ref="A82:A83"/>
    <mergeCell ref="C82:C83"/>
    <mergeCell ref="D82:D83"/>
    <mergeCell ref="E82:E83"/>
    <mergeCell ref="A84:A85"/>
    <mergeCell ref="C84:C85"/>
    <mergeCell ref="D84:D85"/>
    <mergeCell ref="E84:E85"/>
    <mergeCell ref="A78:A79"/>
    <mergeCell ref="C78:C79"/>
    <mergeCell ref="D78:D79"/>
    <mergeCell ref="E78:E79"/>
    <mergeCell ref="A80:A81"/>
    <mergeCell ref="C80:C81"/>
    <mergeCell ref="D80:D81"/>
    <mergeCell ref="E80:E81"/>
    <mergeCell ref="A74:A75"/>
    <mergeCell ref="C74:C75"/>
    <mergeCell ref="D74:D75"/>
    <mergeCell ref="E74:E75"/>
    <mergeCell ref="A76:A77"/>
    <mergeCell ref="C76:C77"/>
    <mergeCell ref="D76:D77"/>
    <mergeCell ref="E76:E77"/>
    <mergeCell ref="A70:A71"/>
    <mergeCell ref="C70:C71"/>
    <mergeCell ref="D70:D71"/>
    <mergeCell ref="E70:E71"/>
    <mergeCell ref="A72:A73"/>
    <mergeCell ref="C72:C73"/>
    <mergeCell ref="D72:D73"/>
    <mergeCell ref="E72:E73"/>
    <mergeCell ref="A66:A67"/>
    <mergeCell ref="C66:C67"/>
    <mergeCell ref="D66:D67"/>
    <mergeCell ref="E66:E67"/>
    <mergeCell ref="A68:A69"/>
    <mergeCell ref="C68:C69"/>
    <mergeCell ref="D68:D69"/>
    <mergeCell ref="E68:E69"/>
    <mergeCell ref="A62:A63"/>
    <mergeCell ref="C62:C63"/>
    <mergeCell ref="D62:D63"/>
    <mergeCell ref="E62:E63"/>
    <mergeCell ref="A64:A65"/>
    <mergeCell ref="C64:C65"/>
    <mergeCell ref="D64:D65"/>
    <mergeCell ref="E64:E65"/>
    <mergeCell ref="A58:A59"/>
    <mergeCell ref="C58:C59"/>
    <mergeCell ref="D58:D59"/>
    <mergeCell ref="E58:E59"/>
    <mergeCell ref="A60:A61"/>
    <mergeCell ref="C60:C61"/>
    <mergeCell ref="D60:D61"/>
    <mergeCell ref="E60:E61"/>
    <mergeCell ref="A54:A55"/>
    <mergeCell ref="C54:C55"/>
    <mergeCell ref="D54:D55"/>
    <mergeCell ref="E54:E55"/>
    <mergeCell ref="A56:A57"/>
    <mergeCell ref="C56:C57"/>
    <mergeCell ref="D56:D57"/>
    <mergeCell ref="E56:E57"/>
    <mergeCell ref="A50:A51"/>
    <mergeCell ref="C50:C51"/>
    <mergeCell ref="D50:D51"/>
    <mergeCell ref="E50:E51"/>
    <mergeCell ref="A52:A53"/>
    <mergeCell ref="C52:C53"/>
    <mergeCell ref="D52:D53"/>
    <mergeCell ref="E52:E53"/>
    <mergeCell ref="A46:A47"/>
    <mergeCell ref="C46:C47"/>
    <mergeCell ref="D46:D47"/>
    <mergeCell ref="E46:E47"/>
    <mergeCell ref="A48:A49"/>
    <mergeCell ref="C48:C49"/>
    <mergeCell ref="D48:D49"/>
    <mergeCell ref="E48:E49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34:A35"/>
    <mergeCell ref="C34:C35"/>
    <mergeCell ref="D34:D35"/>
    <mergeCell ref="E34:E35"/>
    <mergeCell ref="A36:A37"/>
    <mergeCell ref="C36:C37"/>
    <mergeCell ref="D36:D37"/>
    <mergeCell ref="E36:E37"/>
    <mergeCell ref="A30:A31"/>
    <mergeCell ref="C30:C31"/>
    <mergeCell ref="D30:D31"/>
    <mergeCell ref="E30:E31"/>
    <mergeCell ref="A32:A33"/>
    <mergeCell ref="C32:C33"/>
    <mergeCell ref="D32:D33"/>
    <mergeCell ref="E32:E33"/>
    <mergeCell ref="A26:A27"/>
    <mergeCell ref="C26:C27"/>
    <mergeCell ref="D26:D27"/>
    <mergeCell ref="E26:E27"/>
    <mergeCell ref="A28:A29"/>
    <mergeCell ref="C28:C29"/>
    <mergeCell ref="D28:D29"/>
    <mergeCell ref="E28:E29"/>
    <mergeCell ref="A22:A23"/>
    <mergeCell ref="C22:C23"/>
    <mergeCell ref="D22:D23"/>
    <mergeCell ref="E22:E23"/>
    <mergeCell ref="A24:A25"/>
    <mergeCell ref="C24:C25"/>
    <mergeCell ref="D24:D25"/>
    <mergeCell ref="E24:E25"/>
    <mergeCell ref="A18:A19"/>
    <mergeCell ref="C18:C19"/>
    <mergeCell ref="D18:D19"/>
    <mergeCell ref="E18:E19"/>
    <mergeCell ref="A20:A21"/>
    <mergeCell ref="C20:C21"/>
    <mergeCell ref="D20:D21"/>
    <mergeCell ref="E20:E21"/>
    <mergeCell ref="A14:A15"/>
    <mergeCell ref="C14:C15"/>
    <mergeCell ref="D14:D15"/>
    <mergeCell ref="E14:E15"/>
    <mergeCell ref="A16:A17"/>
    <mergeCell ref="C16:C17"/>
    <mergeCell ref="D16:D17"/>
    <mergeCell ref="E16:E17"/>
    <mergeCell ref="A10:A11"/>
    <mergeCell ref="C10:C11"/>
    <mergeCell ref="D10:D11"/>
    <mergeCell ref="E10:E11"/>
    <mergeCell ref="A12:A13"/>
    <mergeCell ref="C12:C13"/>
    <mergeCell ref="D12:D13"/>
    <mergeCell ref="E12:E13"/>
    <mergeCell ref="A5:L5"/>
    <mergeCell ref="A6:A7"/>
    <mergeCell ref="B6:B7"/>
    <mergeCell ref="C6:C7"/>
    <mergeCell ref="A8:A9"/>
    <mergeCell ref="C8:C9"/>
    <mergeCell ref="D8:D9"/>
    <mergeCell ref="E8:E9"/>
  </mergeCells>
  <printOptions horizontalCentered="1" verticalCentered="1"/>
  <pageMargins left="0.5905511811023623" right="0.5905511811023623" top="0.7874015748031497" bottom="0.7874015748031497" header="0.1968503937007874" footer="0.1968503937007874"/>
  <pageSetup horizontalDpi="600" verticalDpi="600" orientation="landscape" paperSize="9" scale="95" r:id="rId1"/>
  <headerFooter alignWithMargins="0">
    <oddFooter>&amp;R&amp;P</oddFooter>
  </headerFooter>
  <rowBreaks count="2" manualBreakCount="2">
    <brk id="39" max="255" man="1"/>
    <brk id="1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G18"/>
    </sheetView>
  </sheetViews>
  <sheetFormatPr defaultColWidth="9.140625" defaultRowHeight="12.75"/>
  <cols>
    <col min="1" max="1" width="9.8515625" style="2" customWidth="1"/>
    <col min="2" max="2" width="48.57421875" style="2" customWidth="1"/>
    <col min="3" max="3" width="16.28125" style="2" customWidth="1"/>
    <col min="4" max="4" width="17.7109375" style="2" customWidth="1"/>
    <col min="5" max="5" width="17.28125" style="2" customWidth="1"/>
    <col min="6" max="6" width="18.28125" style="2" customWidth="1"/>
    <col min="7" max="7" width="15.8515625" style="2" customWidth="1"/>
    <col min="8" max="8" width="10.57421875" style="2" bestFit="1" customWidth="1"/>
    <col min="9" max="16384" width="9.140625" style="2" customWidth="1"/>
  </cols>
  <sheetData>
    <row r="1" spans="1:7" ht="15.75">
      <c r="A1" s="1"/>
      <c r="E1" s="12"/>
      <c r="G1" s="12" t="s">
        <v>397</v>
      </c>
    </row>
    <row r="2" spans="4:7" ht="15">
      <c r="D2" s="76"/>
      <c r="E2" s="12"/>
      <c r="G2" s="12" t="s">
        <v>914</v>
      </c>
    </row>
    <row r="3" spans="5:7" ht="15">
      <c r="E3" s="77"/>
      <c r="G3" s="68" t="s">
        <v>915</v>
      </c>
    </row>
    <row r="4" ht="45" customHeight="1"/>
    <row r="5" spans="1:7" ht="20.25">
      <c r="A5" s="430" t="s">
        <v>430</v>
      </c>
      <c r="B5" s="430"/>
      <c r="C5" s="430"/>
      <c r="D5" s="430"/>
      <c r="E5" s="430"/>
      <c r="F5" s="430"/>
      <c r="G5" s="430"/>
    </row>
    <row r="6" spans="1:7" ht="12.75">
      <c r="A6" s="78"/>
      <c r="B6" s="78"/>
      <c r="C6" s="78"/>
      <c r="D6" s="78"/>
      <c r="E6" s="78"/>
      <c r="F6" s="78"/>
      <c r="G6" s="78"/>
    </row>
    <row r="7" spans="1:7" ht="12.75">
      <c r="A7" s="78"/>
      <c r="B7" s="79"/>
      <c r="C7" s="80"/>
      <c r="D7" s="80"/>
      <c r="E7" s="81"/>
      <c r="F7" s="81" t="s">
        <v>387</v>
      </c>
      <c r="G7" s="80"/>
    </row>
    <row r="8" spans="1:7" ht="63">
      <c r="A8" s="93" t="s">
        <v>396</v>
      </c>
      <c r="B8" s="93" t="s">
        <v>352</v>
      </c>
      <c r="C8" s="93" t="s">
        <v>431</v>
      </c>
      <c r="D8" s="93" t="s">
        <v>401</v>
      </c>
      <c r="E8" s="114" t="s">
        <v>432</v>
      </c>
      <c r="F8" s="114" t="s">
        <v>433</v>
      </c>
      <c r="G8" s="114" t="s">
        <v>402</v>
      </c>
    </row>
    <row r="9" spans="1:8" s="7" customFormat="1" ht="18.75">
      <c r="A9" s="113" t="s">
        <v>353</v>
      </c>
      <c r="B9" s="3" t="s">
        <v>354</v>
      </c>
      <c r="C9" s="96">
        <f>C10</f>
        <v>78000</v>
      </c>
      <c r="D9" s="96">
        <f>D10</f>
        <v>8613</v>
      </c>
      <c r="E9" s="96">
        <f>C9+D9</f>
        <v>86613</v>
      </c>
      <c r="F9" s="96">
        <f>F10</f>
        <v>86613</v>
      </c>
      <c r="G9" s="96">
        <f>G10</f>
        <v>0</v>
      </c>
      <c r="H9" s="82"/>
    </row>
    <row r="10" spans="1:8" ht="32.25">
      <c r="A10" s="99" t="s">
        <v>390</v>
      </c>
      <c r="B10" s="94" t="s">
        <v>355</v>
      </c>
      <c r="C10" s="95">
        <v>78000</v>
      </c>
      <c r="D10" s="90">
        <v>8613</v>
      </c>
      <c r="E10" s="95">
        <f>SUM(C10:D10)</f>
        <v>86613</v>
      </c>
      <c r="F10" s="95">
        <f>SUM(E10)</f>
        <v>86613</v>
      </c>
      <c r="G10" s="95"/>
      <c r="H10" s="82"/>
    </row>
    <row r="11" spans="1:8" s="7" customFormat="1" ht="18.75">
      <c r="A11" s="113" t="s">
        <v>356</v>
      </c>
      <c r="B11" s="24" t="s">
        <v>357</v>
      </c>
      <c r="C11" s="96">
        <f>C12</f>
        <v>1805245</v>
      </c>
      <c r="D11" s="96">
        <f>D12</f>
        <v>149302</v>
      </c>
      <c r="E11" s="96">
        <f>E12</f>
        <v>1954547</v>
      </c>
      <c r="F11" s="96">
        <f>F12</f>
        <v>1954547</v>
      </c>
      <c r="G11" s="96">
        <f>G12</f>
        <v>0</v>
      </c>
      <c r="H11" s="82"/>
    </row>
    <row r="12" spans="1:8" ht="32.25">
      <c r="A12" s="99" t="s">
        <v>258</v>
      </c>
      <c r="B12" s="100" t="s">
        <v>281</v>
      </c>
      <c r="C12" s="96">
        <f>SUM(C13+C14)</f>
        <v>1805245</v>
      </c>
      <c r="D12" s="96">
        <f>SUM(D13+D14)</f>
        <v>149302</v>
      </c>
      <c r="E12" s="96">
        <f>SUM(E13+E14)</f>
        <v>1954547</v>
      </c>
      <c r="F12" s="96">
        <f>F13+F14</f>
        <v>1954547</v>
      </c>
      <c r="G12" s="96">
        <f>G13+G14</f>
        <v>0</v>
      </c>
      <c r="H12" s="82"/>
    </row>
    <row r="13" spans="1:8" ht="18.75">
      <c r="A13" s="91"/>
      <c r="B13" s="83" t="s">
        <v>358</v>
      </c>
      <c r="C13" s="92">
        <v>1239912</v>
      </c>
      <c r="D13" s="95">
        <v>149302</v>
      </c>
      <c r="E13" s="95">
        <f>C13+D13</f>
        <v>1389214</v>
      </c>
      <c r="F13" s="95">
        <f>E13</f>
        <v>1389214</v>
      </c>
      <c r="G13" s="95"/>
      <c r="H13" s="82"/>
    </row>
    <row r="14" spans="1:8" ht="32.25">
      <c r="A14" s="97"/>
      <c r="B14" s="83" t="s">
        <v>359</v>
      </c>
      <c r="C14" s="89">
        <v>565333</v>
      </c>
      <c r="D14" s="89">
        <v>0</v>
      </c>
      <c r="E14" s="90">
        <f>C14+D14</f>
        <v>565333</v>
      </c>
      <c r="F14" s="90">
        <f>E14</f>
        <v>565333</v>
      </c>
      <c r="G14" s="89"/>
      <c r="H14" s="82"/>
    </row>
    <row r="15" spans="1:8" ht="18.75">
      <c r="A15" s="113" t="s">
        <v>393</v>
      </c>
      <c r="B15" s="24" t="s">
        <v>394</v>
      </c>
      <c r="C15" s="96">
        <v>0</v>
      </c>
      <c r="D15" s="182">
        <v>103528</v>
      </c>
      <c r="E15" s="182">
        <f>C15+D15</f>
        <v>103528</v>
      </c>
      <c r="F15" s="96">
        <f>E15-G15</f>
        <v>103513</v>
      </c>
      <c r="G15" s="182">
        <v>15</v>
      </c>
      <c r="H15" s="82"/>
    </row>
    <row r="16" spans="1:8" s="84" customFormat="1" ht="32.25">
      <c r="A16" s="110"/>
      <c r="B16" s="111" t="s">
        <v>395</v>
      </c>
      <c r="C16" s="112">
        <f>C9+C11+C15</f>
        <v>1883245</v>
      </c>
      <c r="D16" s="112">
        <f>D9+D11+D15</f>
        <v>261443</v>
      </c>
      <c r="E16" s="115">
        <f>E9+E11+E15</f>
        <v>2144688</v>
      </c>
      <c r="F16" s="115">
        <f>F9+F11+F15</f>
        <v>2144673</v>
      </c>
      <c r="G16" s="115">
        <f>G9+G11+G15</f>
        <v>15</v>
      </c>
      <c r="H16" s="82"/>
    </row>
    <row r="18" spans="1:7" ht="18.75">
      <c r="A18" s="7" t="s">
        <v>27</v>
      </c>
      <c r="B18" s="7"/>
      <c r="C18" s="7"/>
      <c r="D18" s="7"/>
      <c r="E18" s="7"/>
      <c r="F18" s="73" t="s">
        <v>83</v>
      </c>
      <c r="G18" s="7"/>
    </row>
    <row r="19" spans="4:5" ht="12.75">
      <c r="D19" s="184"/>
      <c r="E19" s="184"/>
    </row>
    <row r="20" spans="1:5" ht="15.75">
      <c r="A20" s="104"/>
      <c r="B20" s="105"/>
      <c r="C20" s="106"/>
      <c r="D20" s="184"/>
      <c r="E20" s="184"/>
    </row>
    <row r="21" spans="1:3" ht="15.75">
      <c r="A21" s="107"/>
      <c r="B21" s="107"/>
      <c r="C21" s="108"/>
    </row>
    <row r="22" spans="1:5" ht="15.75">
      <c r="A22" s="107"/>
      <c r="B22" s="107"/>
      <c r="C22" s="108"/>
      <c r="D22" s="184"/>
      <c r="E22" s="184"/>
    </row>
    <row r="23" spans="1:5" ht="15.75">
      <c r="A23" s="101"/>
      <c r="B23" s="102"/>
      <c r="C23" s="103"/>
      <c r="D23" s="184"/>
      <c r="E23" s="184"/>
    </row>
    <row r="24" spans="1:5" ht="15.75">
      <c r="A24" s="101"/>
      <c r="B24" s="102"/>
      <c r="C24" s="103"/>
      <c r="D24" s="184"/>
      <c r="E24" s="184"/>
    </row>
    <row r="25" spans="1:5" ht="15.75">
      <c r="A25" s="109"/>
      <c r="B25" s="107"/>
      <c r="C25" s="108"/>
      <c r="D25" s="184"/>
      <c r="E25" s="184"/>
    </row>
    <row r="26" spans="1:5" ht="15.75">
      <c r="A26" s="101"/>
      <c r="B26" s="102"/>
      <c r="C26" s="103"/>
      <c r="D26" s="184"/>
      <c r="E26" s="184"/>
    </row>
    <row r="27" spans="1:5" ht="15.75">
      <c r="A27" s="101"/>
      <c r="B27" s="102"/>
      <c r="C27" s="103"/>
      <c r="D27" s="184"/>
      <c r="E27" s="184"/>
    </row>
    <row r="28" spans="1:5" ht="15.75">
      <c r="A28" s="101"/>
      <c r="B28" s="102"/>
      <c r="C28" s="103"/>
      <c r="D28" s="184"/>
      <c r="E28" s="184"/>
    </row>
    <row r="29" spans="1:5" ht="15.75">
      <c r="A29" s="109"/>
      <c r="B29" s="107"/>
      <c r="C29" s="108"/>
      <c r="D29" s="184"/>
      <c r="E29" s="184"/>
    </row>
    <row r="30" spans="1:5" ht="15.75">
      <c r="A30" s="101"/>
      <c r="B30" s="102"/>
      <c r="C30" s="103"/>
      <c r="D30" s="184"/>
      <c r="E30" s="184"/>
    </row>
  </sheetData>
  <sheetProtection/>
  <mergeCells count="1">
    <mergeCell ref="A5:G5"/>
  </mergeCells>
  <printOptions/>
  <pageMargins left="0.75" right="0.75" top="0.51" bottom="0.5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93"/>
  <sheetViews>
    <sheetView showGridLines="0" zoomScalePageLayoutView="0" workbookViewId="0" topLeftCell="A171">
      <selection activeCell="A1" sqref="A1:C193"/>
    </sheetView>
  </sheetViews>
  <sheetFormatPr defaultColWidth="9.140625" defaultRowHeight="12.75"/>
  <cols>
    <col min="1" max="1" width="2.7109375" style="397" customWidth="1"/>
    <col min="2" max="2" width="73.421875" style="397" customWidth="1"/>
    <col min="3" max="3" width="17.28125" style="397" customWidth="1"/>
    <col min="4" max="16384" width="9.140625" style="397" customWidth="1"/>
  </cols>
  <sheetData>
    <row r="1" spans="1:3" ht="15.75">
      <c r="A1" s="442"/>
      <c r="B1" s="442"/>
      <c r="C1" s="393" t="s">
        <v>890</v>
      </c>
    </row>
    <row r="2" spans="1:3" ht="15.75">
      <c r="A2" s="394"/>
      <c r="B2" s="394"/>
      <c r="C2" s="393" t="s">
        <v>914</v>
      </c>
    </row>
    <row r="3" spans="1:3" ht="15.75">
      <c r="A3" s="394"/>
      <c r="B3" s="394"/>
      <c r="C3" s="395" t="s">
        <v>915</v>
      </c>
    </row>
    <row r="5" spans="2:3" ht="39" customHeight="1">
      <c r="B5" s="533" t="s">
        <v>886</v>
      </c>
      <c r="C5" s="534"/>
    </row>
    <row r="6" spans="1:3" ht="28.5" customHeight="1">
      <c r="A6" s="535" t="s">
        <v>754</v>
      </c>
      <c r="B6" s="536"/>
      <c r="C6" s="401" t="s">
        <v>429</v>
      </c>
    </row>
    <row r="8" spans="1:3" ht="15" customHeight="1">
      <c r="A8" s="449" t="s">
        <v>755</v>
      </c>
      <c r="B8" s="450"/>
      <c r="C8" s="450"/>
    </row>
    <row r="9" spans="1:3" ht="15" customHeight="1">
      <c r="A9" s="449" t="s">
        <v>756</v>
      </c>
      <c r="B9" s="451"/>
      <c r="C9" s="398">
        <v>20508</v>
      </c>
    </row>
    <row r="10" spans="1:3" ht="15" customHeight="1">
      <c r="A10" s="452" t="s">
        <v>760</v>
      </c>
      <c r="B10" s="450"/>
      <c r="C10" s="399">
        <v>20508</v>
      </c>
    </row>
    <row r="11" spans="1:3" ht="15" customHeight="1">
      <c r="A11" s="452" t="s">
        <v>761</v>
      </c>
      <c r="B11" s="450"/>
      <c r="C11" s="399">
        <v>470</v>
      </c>
    </row>
    <row r="12" spans="1:3" ht="15" customHeight="1">
      <c r="A12" s="452" t="s">
        <v>762</v>
      </c>
      <c r="B12" s="450"/>
      <c r="C12" s="399">
        <v>20038</v>
      </c>
    </row>
    <row r="14" spans="1:3" ht="15" customHeight="1">
      <c r="A14" s="449" t="s">
        <v>774</v>
      </c>
      <c r="B14" s="450"/>
      <c r="C14" s="450"/>
    </row>
    <row r="15" spans="1:3" ht="15" customHeight="1">
      <c r="A15" s="449" t="s">
        <v>756</v>
      </c>
      <c r="B15" s="451"/>
      <c r="C15" s="398">
        <v>20508</v>
      </c>
    </row>
    <row r="16" spans="1:3" ht="15" customHeight="1">
      <c r="A16" s="452" t="s">
        <v>760</v>
      </c>
      <c r="B16" s="450"/>
      <c r="C16" s="399">
        <v>20508</v>
      </c>
    </row>
    <row r="17" spans="1:3" ht="15" customHeight="1">
      <c r="A17" s="452" t="s">
        <v>761</v>
      </c>
      <c r="B17" s="450"/>
      <c r="C17" s="399">
        <v>470</v>
      </c>
    </row>
    <row r="18" spans="1:3" ht="15" customHeight="1">
      <c r="A18" s="452" t="s">
        <v>762</v>
      </c>
      <c r="B18" s="450"/>
      <c r="C18" s="399">
        <v>20038</v>
      </c>
    </row>
    <row r="20" spans="1:3" ht="15" customHeight="1">
      <c r="A20" s="449" t="s">
        <v>786</v>
      </c>
      <c r="B20" s="450"/>
      <c r="C20" s="450"/>
    </row>
    <row r="21" spans="1:3" ht="15" customHeight="1">
      <c r="A21" s="449" t="s">
        <v>756</v>
      </c>
      <c r="B21" s="451"/>
      <c r="C21" s="398">
        <v>2300</v>
      </c>
    </row>
    <row r="22" spans="1:3" ht="15" customHeight="1">
      <c r="A22" s="452" t="s">
        <v>760</v>
      </c>
      <c r="B22" s="450"/>
      <c r="C22" s="399">
        <v>2300</v>
      </c>
    </row>
    <row r="23" spans="1:3" ht="15" customHeight="1">
      <c r="A23" s="452" t="s">
        <v>762</v>
      </c>
      <c r="B23" s="450"/>
      <c r="C23" s="399">
        <v>2049</v>
      </c>
    </row>
    <row r="24" spans="1:3" ht="30" customHeight="1">
      <c r="A24" s="452" t="s">
        <v>764</v>
      </c>
      <c r="B24" s="450"/>
      <c r="C24" s="399">
        <v>251</v>
      </c>
    </row>
    <row r="26" spans="1:3" ht="15" customHeight="1">
      <c r="A26" s="449" t="s">
        <v>887</v>
      </c>
      <c r="B26" s="450"/>
      <c r="C26" s="450"/>
    </row>
    <row r="27" spans="1:3" ht="15" customHeight="1">
      <c r="A27" s="449" t="s">
        <v>756</v>
      </c>
      <c r="B27" s="451"/>
      <c r="C27" s="398">
        <v>2300</v>
      </c>
    </row>
    <row r="28" spans="1:3" ht="15" customHeight="1">
      <c r="A28" s="452" t="s">
        <v>760</v>
      </c>
      <c r="B28" s="450"/>
      <c r="C28" s="399">
        <v>2300</v>
      </c>
    </row>
    <row r="29" spans="1:3" ht="15" customHeight="1">
      <c r="A29" s="452" t="s">
        <v>762</v>
      </c>
      <c r="B29" s="450"/>
      <c r="C29" s="399">
        <v>2049</v>
      </c>
    </row>
    <row r="30" spans="1:3" ht="30" customHeight="1">
      <c r="A30" s="452" t="s">
        <v>764</v>
      </c>
      <c r="B30" s="450"/>
      <c r="C30" s="399">
        <v>251</v>
      </c>
    </row>
    <row r="32" spans="1:3" ht="15" customHeight="1">
      <c r="A32" s="449" t="s">
        <v>790</v>
      </c>
      <c r="B32" s="450"/>
      <c r="C32" s="450"/>
    </row>
    <row r="33" spans="1:3" ht="15" customHeight="1">
      <c r="A33" s="449" t="s">
        <v>756</v>
      </c>
      <c r="B33" s="451"/>
      <c r="C33" s="398">
        <v>1954547</v>
      </c>
    </row>
    <row r="34" spans="1:3" ht="15" customHeight="1">
      <c r="A34" s="452" t="s">
        <v>757</v>
      </c>
      <c r="B34" s="450"/>
      <c r="C34" s="399">
        <v>38530</v>
      </c>
    </row>
    <row r="35" spans="1:3" ht="15" customHeight="1">
      <c r="A35" s="452" t="s">
        <v>758</v>
      </c>
      <c r="B35" s="450"/>
      <c r="C35" s="399">
        <v>29376</v>
      </c>
    </row>
    <row r="36" spans="1:3" ht="15" customHeight="1">
      <c r="A36" s="452" t="s">
        <v>759</v>
      </c>
      <c r="B36" s="450"/>
      <c r="C36" s="399">
        <v>9154</v>
      </c>
    </row>
    <row r="37" spans="1:3" ht="15" customHeight="1">
      <c r="A37" s="452" t="s">
        <v>760</v>
      </c>
      <c r="B37" s="450"/>
      <c r="C37" s="399">
        <v>1188684</v>
      </c>
    </row>
    <row r="38" spans="1:3" ht="15" customHeight="1">
      <c r="A38" s="452" t="s">
        <v>762</v>
      </c>
      <c r="B38" s="450"/>
      <c r="C38" s="399">
        <v>1177684</v>
      </c>
    </row>
    <row r="39" spans="1:3" ht="30" customHeight="1">
      <c r="A39" s="452" t="s">
        <v>764</v>
      </c>
      <c r="B39" s="450"/>
      <c r="C39" s="399">
        <v>11000</v>
      </c>
    </row>
    <row r="40" spans="1:3" ht="15" customHeight="1">
      <c r="A40" s="452" t="s">
        <v>791</v>
      </c>
      <c r="B40" s="450"/>
      <c r="C40" s="399">
        <v>565333</v>
      </c>
    </row>
    <row r="41" spans="1:3" ht="30" customHeight="1">
      <c r="A41" s="452" t="s">
        <v>793</v>
      </c>
      <c r="B41" s="450"/>
      <c r="C41" s="399">
        <v>565333</v>
      </c>
    </row>
    <row r="42" spans="1:3" ht="15" customHeight="1">
      <c r="A42" s="452" t="s">
        <v>768</v>
      </c>
      <c r="B42" s="450"/>
      <c r="C42" s="399">
        <v>162000</v>
      </c>
    </row>
    <row r="43" spans="1:3" ht="15" customHeight="1">
      <c r="A43" s="452" t="s">
        <v>770</v>
      </c>
      <c r="B43" s="450"/>
      <c r="C43" s="399">
        <v>162000</v>
      </c>
    </row>
    <row r="45" spans="1:3" ht="17.25" customHeight="1">
      <c r="A45" s="449" t="s">
        <v>888</v>
      </c>
      <c r="B45" s="450"/>
      <c r="C45" s="450"/>
    </row>
    <row r="46" spans="1:3" ht="15" customHeight="1">
      <c r="A46" s="449" t="s">
        <v>756</v>
      </c>
      <c r="B46" s="451"/>
      <c r="C46" s="398">
        <v>565333</v>
      </c>
    </row>
    <row r="47" spans="1:3" ht="15" customHeight="1">
      <c r="A47" s="452" t="s">
        <v>791</v>
      </c>
      <c r="B47" s="450"/>
      <c r="C47" s="399">
        <v>565333</v>
      </c>
    </row>
    <row r="48" spans="1:3" ht="30" customHeight="1">
      <c r="A48" s="452" t="s">
        <v>793</v>
      </c>
      <c r="B48" s="450"/>
      <c r="C48" s="399">
        <v>565333</v>
      </c>
    </row>
    <row r="49" ht="9.75" customHeight="1"/>
    <row r="50" spans="1:3" ht="15" customHeight="1">
      <c r="A50" s="449" t="s">
        <v>794</v>
      </c>
      <c r="B50" s="450"/>
      <c r="C50" s="450"/>
    </row>
    <row r="51" spans="1:3" ht="15" customHeight="1">
      <c r="A51" s="449" t="s">
        <v>756</v>
      </c>
      <c r="B51" s="451"/>
      <c r="C51" s="398">
        <v>1389214</v>
      </c>
    </row>
    <row r="52" spans="1:3" ht="15" customHeight="1">
      <c r="A52" s="452" t="s">
        <v>757</v>
      </c>
      <c r="B52" s="450"/>
      <c r="C52" s="399">
        <v>38530</v>
      </c>
    </row>
    <row r="53" spans="1:3" ht="15" customHeight="1">
      <c r="A53" s="452" t="s">
        <v>758</v>
      </c>
      <c r="B53" s="450"/>
      <c r="C53" s="399">
        <v>29376</v>
      </c>
    </row>
    <row r="54" spans="1:3" ht="15" customHeight="1">
      <c r="A54" s="452" t="s">
        <v>759</v>
      </c>
      <c r="B54" s="450"/>
      <c r="C54" s="399">
        <v>9154</v>
      </c>
    </row>
    <row r="55" spans="1:3" ht="15" customHeight="1">
      <c r="A55" s="452" t="s">
        <v>760</v>
      </c>
      <c r="B55" s="450"/>
      <c r="C55" s="399">
        <v>1188684</v>
      </c>
    </row>
    <row r="56" spans="1:3" ht="15" customHeight="1">
      <c r="A56" s="452" t="s">
        <v>762</v>
      </c>
      <c r="B56" s="450"/>
      <c r="C56" s="399">
        <v>1177684</v>
      </c>
    </row>
    <row r="57" spans="1:3" ht="30" customHeight="1">
      <c r="A57" s="452" t="s">
        <v>764</v>
      </c>
      <c r="B57" s="450"/>
      <c r="C57" s="399">
        <v>11000</v>
      </c>
    </row>
    <row r="58" spans="1:3" ht="15" customHeight="1">
      <c r="A58" s="452" t="s">
        <v>768</v>
      </c>
      <c r="B58" s="450"/>
      <c r="C58" s="399">
        <v>162000</v>
      </c>
    </row>
    <row r="59" spans="1:3" ht="15" customHeight="1">
      <c r="A59" s="452" t="s">
        <v>770</v>
      </c>
      <c r="B59" s="450"/>
      <c r="C59" s="399">
        <v>162000</v>
      </c>
    </row>
    <row r="61" spans="1:3" ht="15" customHeight="1">
      <c r="A61" s="449" t="s">
        <v>799</v>
      </c>
      <c r="B61" s="450"/>
      <c r="C61" s="450"/>
    </row>
    <row r="62" spans="1:3" ht="15" customHeight="1">
      <c r="A62" s="449" t="s">
        <v>756</v>
      </c>
      <c r="B62" s="451"/>
      <c r="C62" s="398">
        <v>76833</v>
      </c>
    </row>
    <row r="63" spans="1:3" ht="15" customHeight="1">
      <c r="A63" s="452" t="s">
        <v>760</v>
      </c>
      <c r="B63" s="450"/>
      <c r="C63" s="399">
        <v>14293</v>
      </c>
    </row>
    <row r="64" spans="1:3" ht="15" customHeight="1">
      <c r="A64" s="452" t="s">
        <v>762</v>
      </c>
      <c r="B64" s="450"/>
      <c r="C64" s="399">
        <v>14293</v>
      </c>
    </row>
    <row r="65" spans="1:3" ht="15" customHeight="1">
      <c r="A65" s="452" t="s">
        <v>791</v>
      </c>
      <c r="B65" s="450"/>
      <c r="C65" s="399">
        <v>62540</v>
      </c>
    </row>
    <row r="66" spans="1:3" ht="15" customHeight="1">
      <c r="A66" s="452" t="s">
        <v>792</v>
      </c>
      <c r="B66" s="450"/>
      <c r="C66" s="399">
        <v>62540</v>
      </c>
    </row>
    <row r="68" spans="1:3" ht="15" customHeight="1">
      <c r="A68" s="449" t="s">
        <v>802</v>
      </c>
      <c r="B68" s="450"/>
      <c r="C68" s="450"/>
    </row>
    <row r="69" spans="1:3" ht="15" customHeight="1">
      <c r="A69" s="449" t="s">
        <v>756</v>
      </c>
      <c r="B69" s="451"/>
      <c r="C69" s="398">
        <v>14273</v>
      </c>
    </row>
    <row r="70" spans="1:3" ht="15" customHeight="1">
      <c r="A70" s="452" t="s">
        <v>760</v>
      </c>
      <c r="B70" s="450"/>
      <c r="C70" s="399">
        <v>14273</v>
      </c>
    </row>
    <row r="71" spans="1:3" ht="15" customHeight="1">
      <c r="A71" s="452" t="s">
        <v>762</v>
      </c>
      <c r="B71" s="450"/>
      <c r="C71" s="399">
        <v>14273</v>
      </c>
    </row>
    <row r="73" spans="1:3" ht="15" customHeight="1">
      <c r="A73" s="449" t="s">
        <v>889</v>
      </c>
      <c r="B73" s="450"/>
      <c r="C73" s="450"/>
    </row>
    <row r="74" spans="1:3" ht="15" customHeight="1">
      <c r="A74" s="452" t="s">
        <v>756</v>
      </c>
      <c r="B74" s="450"/>
      <c r="C74" s="399">
        <v>62560</v>
      </c>
    </row>
    <row r="75" spans="1:3" ht="15" customHeight="1">
      <c r="A75" s="452" t="s">
        <v>760</v>
      </c>
      <c r="B75" s="450"/>
      <c r="C75" s="399">
        <v>20</v>
      </c>
    </row>
    <row r="76" spans="1:3" ht="15" customHeight="1">
      <c r="A76" s="452" t="s">
        <v>762</v>
      </c>
      <c r="B76" s="450"/>
      <c r="C76" s="399">
        <v>20</v>
      </c>
    </row>
    <row r="77" spans="1:3" ht="15" customHeight="1">
      <c r="A77" s="452" t="s">
        <v>791</v>
      </c>
      <c r="B77" s="450"/>
      <c r="C77" s="399">
        <v>62540</v>
      </c>
    </row>
    <row r="78" spans="1:3" ht="15" customHeight="1">
      <c r="A78" s="452" t="s">
        <v>792</v>
      </c>
      <c r="B78" s="450"/>
      <c r="C78" s="399">
        <v>62540</v>
      </c>
    </row>
    <row r="79" ht="12" customHeight="1"/>
    <row r="80" spans="1:3" ht="15" customHeight="1">
      <c r="A80" s="449" t="s">
        <v>819</v>
      </c>
      <c r="B80" s="450"/>
      <c r="C80" s="450"/>
    </row>
    <row r="81" spans="1:3" ht="15" customHeight="1">
      <c r="A81" s="449" t="s">
        <v>756</v>
      </c>
      <c r="B81" s="451"/>
      <c r="C81" s="398">
        <v>63411</v>
      </c>
    </row>
    <row r="82" spans="1:3" ht="15" customHeight="1">
      <c r="A82" s="452" t="s">
        <v>757</v>
      </c>
      <c r="B82" s="450"/>
      <c r="C82" s="399">
        <v>2200</v>
      </c>
    </row>
    <row r="83" spans="1:3" ht="15" customHeight="1">
      <c r="A83" s="452" t="s">
        <v>758</v>
      </c>
      <c r="B83" s="450"/>
      <c r="C83" s="399">
        <v>2000</v>
      </c>
    </row>
    <row r="84" spans="1:3" ht="15" customHeight="1">
      <c r="A84" s="452" t="s">
        <v>759</v>
      </c>
      <c r="B84" s="450"/>
      <c r="C84" s="399">
        <v>200</v>
      </c>
    </row>
    <row r="85" spans="1:3" ht="15" customHeight="1">
      <c r="A85" s="452" t="s">
        <v>760</v>
      </c>
      <c r="B85" s="450"/>
      <c r="C85" s="399">
        <v>32245</v>
      </c>
    </row>
    <row r="86" spans="1:3" ht="15" customHeight="1">
      <c r="A86" s="452" t="s">
        <v>762</v>
      </c>
      <c r="B86" s="450"/>
      <c r="C86" s="399">
        <v>25999</v>
      </c>
    </row>
    <row r="87" spans="1:3" ht="30" customHeight="1">
      <c r="A87" s="452" t="s">
        <v>764</v>
      </c>
      <c r="B87" s="450"/>
      <c r="C87" s="399">
        <v>6246</v>
      </c>
    </row>
    <row r="88" spans="1:3" ht="15" customHeight="1">
      <c r="A88" s="452" t="s">
        <v>791</v>
      </c>
      <c r="B88" s="450"/>
      <c r="C88" s="399">
        <v>28966</v>
      </c>
    </row>
    <row r="89" spans="1:3" ht="15" customHeight="1">
      <c r="A89" s="452" t="s">
        <v>792</v>
      </c>
      <c r="B89" s="450"/>
      <c r="C89" s="399">
        <v>28966</v>
      </c>
    </row>
    <row r="90" ht="11.25" customHeight="1"/>
    <row r="91" spans="1:3" ht="15" customHeight="1">
      <c r="A91" s="449" t="s">
        <v>821</v>
      </c>
      <c r="B91" s="450"/>
      <c r="C91" s="450"/>
    </row>
    <row r="92" spans="1:3" ht="15" customHeight="1">
      <c r="A92" s="449" t="s">
        <v>756</v>
      </c>
      <c r="B92" s="451"/>
      <c r="C92" s="398">
        <v>30976</v>
      </c>
    </row>
    <row r="93" spans="1:3" ht="15" customHeight="1">
      <c r="A93" s="452" t="s">
        <v>760</v>
      </c>
      <c r="B93" s="450"/>
      <c r="C93" s="399">
        <v>2010</v>
      </c>
    </row>
    <row r="94" spans="1:3" ht="15" customHeight="1">
      <c r="A94" s="452" t="s">
        <v>762</v>
      </c>
      <c r="B94" s="450"/>
      <c r="C94" s="399">
        <v>2010</v>
      </c>
    </row>
    <row r="95" spans="1:3" ht="15" customHeight="1">
      <c r="A95" s="452" t="s">
        <v>791</v>
      </c>
      <c r="B95" s="450"/>
      <c r="C95" s="399">
        <v>28966</v>
      </c>
    </row>
    <row r="96" spans="1:3" ht="15" customHeight="1">
      <c r="A96" s="452" t="s">
        <v>792</v>
      </c>
      <c r="B96" s="450"/>
      <c r="C96" s="399">
        <v>28966</v>
      </c>
    </row>
    <row r="97" ht="11.25" customHeight="1"/>
    <row r="98" spans="1:3" ht="15" customHeight="1">
      <c r="A98" s="449" t="s">
        <v>824</v>
      </c>
      <c r="B98" s="450"/>
      <c r="C98" s="450"/>
    </row>
    <row r="99" spans="1:3" ht="15" customHeight="1">
      <c r="A99" s="449" t="s">
        <v>756</v>
      </c>
      <c r="B99" s="451"/>
      <c r="C99" s="398">
        <v>1589</v>
      </c>
    </row>
    <row r="100" spans="1:3" ht="15" customHeight="1">
      <c r="A100" s="452" t="s">
        <v>760</v>
      </c>
      <c r="B100" s="450"/>
      <c r="C100" s="399">
        <v>1589</v>
      </c>
    </row>
    <row r="101" spans="1:3" ht="15" customHeight="1">
      <c r="A101" s="452" t="s">
        <v>762</v>
      </c>
      <c r="B101" s="450"/>
      <c r="C101" s="399">
        <v>1589</v>
      </c>
    </row>
    <row r="102" ht="10.5" customHeight="1"/>
    <row r="103" spans="1:3" ht="15" customHeight="1">
      <c r="A103" s="449" t="s">
        <v>825</v>
      </c>
      <c r="B103" s="450"/>
      <c r="C103" s="450"/>
    </row>
    <row r="104" spans="1:3" ht="15" customHeight="1">
      <c r="A104" s="449" t="s">
        <v>756</v>
      </c>
      <c r="B104" s="451"/>
      <c r="C104" s="398">
        <v>30846</v>
      </c>
    </row>
    <row r="105" spans="1:3" ht="15" customHeight="1">
      <c r="A105" s="452" t="s">
        <v>757</v>
      </c>
      <c r="B105" s="450"/>
      <c r="C105" s="399">
        <v>2200</v>
      </c>
    </row>
    <row r="106" spans="1:3" ht="15" customHeight="1">
      <c r="A106" s="452" t="s">
        <v>758</v>
      </c>
      <c r="B106" s="450"/>
      <c r="C106" s="399">
        <v>2000</v>
      </c>
    </row>
    <row r="107" spans="1:3" ht="15" customHeight="1">
      <c r="A107" s="452" t="s">
        <v>759</v>
      </c>
      <c r="B107" s="450"/>
      <c r="C107" s="399">
        <v>200</v>
      </c>
    </row>
    <row r="108" spans="1:3" ht="15" customHeight="1">
      <c r="A108" s="452" t="s">
        <v>760</v>
      </c>
      <c r="B108" s="450"/>
      <c r="C108" s="399">
        <v>28646</v>
      </c>
    </row>
    <row r="109" spans="1:3" ht="15" customHeight="1">
      <c r="A109" s="452" t="s">
        <v>762</v>
      </c>
      <c r="B109" s="450"/>
      <c r="C109" s="399">
        <v>22400</v>
      </c>
    </row>
    <row r="110" spans="1:3" ht="30" customHeight="1">
      <c r="A110" s="452" t="s">
        <v>764</v>
      </c>
      <c r="B110" s="450"/>
      <c r="C110" s="399">
        <v>6246</v>
      </c>
    </row>
    <row r="112" spans="1:3" ht="15" customHeight="1">
      <c r="A112" s="449" t="s">
        <v>836</v>
      </c>
      <c r="B112" s="450"/>
      <c r="C112" s="450"/>
    </row>
    <row r="113" spans="1:3" ht="15" customHeight="1">
      <c r="A113" s="449" t="s">
        <v>756</v>
      </c>
      <c r="B113" s="451"/>
      <c r="C113" s="398">
        <v>24144</v>
      </c>
    </row>
    <row r="114" spans="1:3" ht="15" customHeight="1">
      <c r="A114" s="452" t="s">
        <v>757</v>
      </c>
      <c r="B114" s="450"/>
      <c r="C114" s="399">
        <v>104</v>
      </c>
    </row>
    <row r="115" spans="1:3" ht="15" customHeight="1">
      <c r="A115" s="452" t="s">
        <v>758</v>
      </c>
      <c r="B115" s="450"/>
      <c r="C115" s="399">
        <v>84</v>
      </c>
    </row>
    <row r="116" spans="1:3" ht="15" customHeight="1">
      <c r="A116" s="452" t="s">
        <v>759</v>
      </c>
      <c r="B116" s="450"/>
      <c r="C116" s="399">
        <v>20</v>
      </c>
    </row>
    <row r="117" spans="1:3" ht="15" customHeight="1">
      <c r="A117" s="452" t="s">
        <v>760</v>
      </c>
      <c r="B117" s="450"/>
      <c r="C117" s="399">
        <v>19707</v>
      </c>
    </row>
    <row r="118" spans="1:3" ht="15" customHeight="1">
      <c r="A118" s="452" t="s">
        <v>762</v>
      </c>
      <c r="B118" s="450"/>
      <c r="C118" s="399">
        <v>9218</v>
      </c>
    </row>
    <row r="119" spans="1:3" ht="30" customHeight="1">
      <c r="A119" s="452" t="s">
        <v>764</v>
      </c>
      <c r="B119" s="450"/>
      <c r="C119" s="399">
        <v>10441</v>
      </c>
    </row>
    <row r="120" spans="1:3" ht="15" customHeight="1">
      <c r="A120" s="452" t="s">
        <v>765</v>
      </c>
      <c r="B120" s="450"/>
      <c r="C120" s="399">
        <v>48</v>
      </c>
    </row>
    <row r="121" spans="1:3" ht="15" customHeight="1">
      <c r="A121" s="452" t="s">
        <v>768</v>
      </c>
      <c r="B121" s="450"/>
      <c r="C121" s="399">
        <v>4333</v>
      </c>
    </row>
    <row r="122" spans="1:3" ht="15" customHeight="1">
      <c r="A122" s="452" t="s">
        <v>770</v>
      </c>
      <c r="B122" s="450"/>
      <c r="C122" s="399">
        <v>4333</v>
      </c>
    </row>
    <row r="124" spans="1:3" ht="15" customHeight="1">
      <c r="A124" s="449" t="s">
        <v>839</v>
      </c>
      <c r="B124" s="450"/>
      <c r="C124" s="450"/>
    </row>
    <row r="125" spans="1:3" ht="15" customHeight="1">
      <c r="A125" s="449" t="s">
        <v>756</v>
      </c>
      <c r="B125" s="451"/>
      <c r="C125" s="398">
        <v>20</v>
      </c>
    </row>
    <row r="126" spans="1:3" ht="15" customHeight="1">
      <c r="A126" s="452" t="s">
        <v>760</v>
      </c>
      <c r="B126" s="450"/>
      <c r="C126" s="399">
        <v>20</v>
      </c>
    </row>
    <row r="127" spans="1:3" ht="30" customHeight="1">
      <c r="A127" s="452" t="s">
        <v>764</v>
      </c>
      <c r="B127" s="450"/>
      <c r="C127" s="399">
        <v>20</v>
      </c>
    </row>
    <row r="129" spans="1:3" ht="15" customHeight="1">
      <c r="A129" s="449" t="s">
        <v>840</v>
      </c>
      <c r="B129" s="450"/>
      <c r="C129" s="450"/>
    </row>
    <row r="130" spans="1:3" ht="15" customHeight="1">
      <c r="A130" s="449" t="s">
        <v>756</v>
      </c>
      <c r="B130" s="451"/>
      <c r="C130" s="398">
        <v>7174</v>
      </c>
    </row>
    <row r="131" spans="1:3" ht="15" customHeight="1">
      <c r="A131" s="452" t="s">
        <v>760</v>
      </c>
      <c r="B131" s="450"/>
      <c r="C131" s="399">
        <v>6174</v>
      </c>
    </row>
    <row r="132" spans="1:3" ht="15" customHeight="1">
      <c r="A132" s="452" t="s">
        <v>762</v>
      </c>
      <c r="B132" s="450"/>
      <c r="C132" s="399">
        <v>4574</v>
      </c>
    </row>
    <row r="133" spans="1:3" ht="30" customHeight="1">
      <c r="A133" s="452" t="s">
        <v>764</v>
      </c>
      <c r="B133" s="450"/>
      <c r="C133" s="399">
        <v>1600</v>
      </c>
    </row>
    <row r="134" spans="1:3" ht="15" customHeight="1">
      <c r="A134" s="452" t="s">
        <v>768</v>
      </c>
      <c r="B134" s="450"/>
      <c r="C134" s="399">
        <v>1000</v>
      </c>
    </row>
    <row r="135" spans="1:3" ht="15" customHeight="1">
      <c r="A135" s="452" t="s">
        <v>770</v>
      </c>
      <c r="B135" s="450"/>
      <c r="C135" s="399">
        <v>1000</v>
      </c>
    </row>
    <row r="137" spans="1:3" ht="15" customHeight="1">
      <c r="A137" s="449" t="s">
        <v>841</v>
      </c>
      <c r="B137" s="450"/>
      <c r="C137" s="450"/>
    </row>
    <row r="138" spans="1:3" ht="15" customHeight="1">
      <c r="A138" s="449" t="s">
        <v>756</v>
      </c>
      <c r="B138" s="451"/>
      <c r="C138" s="398">
        <v>13436</v>
      </c>
    </row>
    <row r="139" spans="1:3" ht="15" customHeight="1">
      <c r="A139" s="452" t="s">
        <v>760</v>
      </c>
      <c r="B139" s="450"/>
      <c r="C139" s="399">
        <v>10103</v>
      </c>
    </row>
    <row r="140" spans="1:3" ht="15" customHeight="1">
      <c r="A140" s="452" t="s">
        <v>762</v>
      </c>
      <c r="B140" s="450"/>
      <c r="C140" s="399">
        <v>2500</v>
      </c>
    </row>
    <row r="141" spans="1:3" ht="30" customHeight="1">
      <c r="A141" s="452" t="s">
        <v>764</v>
      </c>
      <c r="B141" s="450"/>
      <c r="C141" s="399">
        <v>7603</v>
      </c>
    </row>
    <row r="142" spans="1:3" ht="15" customHeight="1">
      <c r="A142" s="452" t="s">
        <v>768</v>
      </c>
      <c r="B142" s="450"/>
      <c r="C142" s="399">
        <v>3333</v>
      </c>
    </row>
    <row r="143" spans="1:3" ht="15" customHeight="1">
      <c r="A143" s="452" t="s">
        <v>770</v>
      </c>
      <c r="B143" s="450"/>
      <c r="C143" s="399">
        <v>3333</v>
      </c>
    </row>
    <row r="145" spans="1:3" ht="15" customHeight="1">
      <c r="A145" s="449" t="s">
        <v>848</v>
      </c>
      <c r="B145" s="450"/>
      <c r="C145" s="450"/>
    </row>
    <row r="146" spans="1:3" ht="15" customHeight="1">
      <c r="A146" s="449" t="s">
        <v>756</v>
      </c>
      <c r="B146" s="451"/>
      <c r="C146" s="398">
        <v>2129</v>
      </c>
    </row>
    <row r="147" spans="1:3" ht="15" customHeight="1">
      <c r="A147" s="452" t="s">
        <v>760</v>
      </c>
      <c r="B147" s="450"/>
      <c r="C147" s="399">
        <v>2129</v>
      </c>
    </row>
    <row r="148" spans="1:3" ht="15" customHeight="1">
      <c r="A148" s="452" t="s">
        <v>762</v>
      </c>
      <c r="B148" s="450"/>
      <c r="C148" s="399">
        <v>2129</v>
      </c>
    </row>
    <row r="150" spans="1:3" ht="15" customHeight="1">
      <c r="A150" s="449" t="s">
        <v>857</v>
      </c>
      <c r="B150" s="450"/>
      <c r="C150" s="450"/>
    </row>
    <row r="151" spans="1:3" ht="15" customHeight="1">
      <c r="A151" s="449" t="s">
        <v>756</v>
      </c>
      <c r="B151" s="451"/>
      <c r="C151" s="398">
        <v>1385</v>
      </c>
    </row>
    <row r="152" spans="1:3" ht="15" customHeight="1">
      <c r="A152" s="452" t="s">
        <v>757</v>
      </c>
      <c r="B152" s="450"/>
      <c r="C152" s="399">
        <v>104</v>
      </c>
    </row>
    <row r="153" spans="1:3" ht="15" customHeight="1">
      <c r="A153" s="452" t="s">
        <v>758</v>
      </c>
      <c r="B153" s="450"/>
      <c r="C153" s="399">
        <v>84</v>
      </c>
    </row>
    <row r="154" spans="1:3" ht="15" customHeight="1">
      <c r="A154" s="452" t="s">
        <v>759</v>
      </c>
      <c r="B154" s="450"/>
      <c r="C154" s="399">
        <v>20</v>
      </c>
    </row>
    <row r="155" spans="1:3" ht="15" customHeight="1">
      <c r="A155" s="452" t="s">
        <v>760</v>
      </c>
      <c r="B155" s="450"/>
      <c r="C155" s="399">
        <v>1281</v>
      </c>
    </row>
    <row r="156" spans="1:3" ht="15" customHeight="1">
      <c r="A156" s="452" t="s">
        <v>762</v>
      </c>
      <c r="B156" s="450"/>
      <c r="C156" s="399">
        <v>15</v>
      </c>
    </row>
    <row r="157" spans="1:3" ht="30" customHeight="1">
      <c r="A157" s="452" t="s">
        <v>764</v>
      </c>
      <c r="B157" s="450"/>
      <c r="C157" s="399">
        <v>1218</v>
      </c>
    </row>
    <row r="158" spans="1:3" ht="15" customHeight="1">
      <c r="A158" s="452" t="s">
        <v>765</v>
      </c>
      <c r="B158" s="450"/>
      <c r="C158" s="399">
        <v>48</v>
      </c>
    </row>
    <row r="160" spans="1:3" ht="15" customHeight="1">
      <c r="A160" s="449" t="s">
        <v>859</v>
      </c>
      <c r="B160" s="450"/>
      <c r="C160" s="450"/>
    </row>
    <row r="161" spans="1:3" ht="15" customHeight="1">
      <c r="A161" s="449" t="s">
        <v>756</v>
      </c>
      <c r="B161" s="451"/>
      <c r="C161" s="398">
        <v>2930</v>
      </c>
    </row>
    <row r="162" spans="1:3" ht="15" customHeight="1">
      <c r="A162" s="452" t="s">
        <v>760</v>
      </c>
      <c r="B162" s="450"/>
      <c r="C162" s="399">
        <v>2930</v>
      </c>
    </row>
    <row r="163" spans="1:3" ht="15" customHeight="1">
      <c r="A163" s="452" t="s">
        <v>762</v>
      </c>
      <c r="B163" s="450"/>
      <c r="C163" s="399">
        <v>20</v>
      </c>
    </row>
    <row r="164" spans="1:3" ht="30" customHeight="1">
      <c r="A164" s="452" t="s">
        <v>764</v>
      </c>
      <c r="B164" s="450"/>
      <c r="C164" s="399">
        <v>2910</v>
      </c>
    </row>
    <row r="166" spans="1:3" ht="15" customHeight="1">
      <c r="A166" s="449" t="s">
        <v>873</v>
      </c>
      <c r="B166" s="450"/>
      <c r="C166" s="450"/>
    </row>
    <row r="167" spans="1:3" ht="15" customHeight="1">
      <c r="A167" s="449" t="s">
        <v>756</v>
      </c>
      <c r="B167" s="451"/>
      <c r="C167" s="398">
        <v>2930</v>
      </c>
    </row>
    <row r="168" spans="1:3" ht="15" customHeight="1">
      <c r="A168" s="452" t="s">
        <v>760</v>
      </c>
      <c r="B168" s="450"/>
      <c r="C168" s="399">
        <v>2930</v>
      </c>
    </row>
    <row r="169" spans="1:3" ht="15" customHeight="1">
      <c r="A169" s="452" t="s">
        <v>762</v>
      </c>
      <c r="B169" s="450"/>
      <c r="C169" s="399">
        <v>20</v>
      </c>
    </row>
    <row r="170" spans="1:3" ht="30" customHeight="1">
      <c r="A170" s="452" t="s">
        <v>764</v>
      </c>
      <c r="B170" s="450"/>
      <c r="C170" s="399">
        <v>2910</v>
      </c>
    </row>
    <row r="172" spans="1:3" ht="15" customHeight="1">
      <c r="A172" s="449" t="s">
        <v>450</v>
      </c>
      <c r="B172" s="450"/>
      <c r="C172" s="450"/>
    </row>
    <row r="173" spans="1:3" ht="15" customHeight="1">
      <c r="A173" s="452" t="s">
        <v>884</v>
      </c>
      <c r="B173" s="450"/>
      <c r="C173" s="398">
        <v>15</v>
      </c>
    </row>
    <row r="175" spans="1:3" ht="15" customHeight="1">
      <c r="A175" s="449" t="s">
        <v>885</v>
      </c>
      <c r="B175" s="450"/>
      <c r="C175" s="450"/>
    </row>
    <row r="176" spans="1:3" ht="15" customHeight="1">
      <c r="A176" s="449" t="s">
        <v>756</v>
      </c>
      <c r="B176" s="451"/>
      <c r="C176" s="398">
        <v>2144688</v>
      </c>
    </row>
    <row r="177" spans="1:3" ht="15" customHeight="1">
      <c r="A177" s="452" t="s">
        <v>757</v>
      </c>
      <c r="B177" s="450"/>
      <c r="C177" s="399">
        <v>40834</v>
      </c>
    </row>
    <row r="178" spans="1:3" ht="15" customHeight="1">
      <c r="A178" s="452" t="s">
        <v>758</v>
      </c>
      <c r="B178" s="450"/>
      <c r="C178" s="399">
        <v>31460</v>
      </c>
    </row>
    <row r="179" spans="1:3" ht="15" customHeight="1">
      <c r="A179" s="452" t="s">
        <v>759</v>
      </c>
      <c r="B179" s="450"/>
      <c r="C179" s="399">
        <v>9374</v>
      </c>
    </row>
    <row r="180" spans="1:3" ht="15" customHeight="1">
      <c r="A180" s="452" t="s">
        <v>760</v>
      </c>
      <c r="B180" s="450"/>
      <c r="C180" s="399">
        <v>1280667</v>
      </c>
    </row>
    <row r="181" spans="1:3" ht="15" customHeight="1">
      <c r="A181" s="452" t="s">
        <v>761</v>
      </c>
      <c r="B181" s="450"/>
      <c r="C181" s="399">
        <v>470</v>
      </c>
    </row>
    <row r="182" spans="1:3" ht="15" customHeight="1">
      <c r="A182" s="452" t="s">
        <v>762</v>
      </c>
      <c r="B182" s="450"/>
      <c r="C182" s="399">
        <v>1249301</v>
      </c>
    </row>
    <row r="183" spans="1:3" ht="30" customHeight="1">
      <c r="A183" s="452" t="s">
        <v>764</v>
      </c>
      <c r="B183" s="450"/>
      <c r="C183" s="399">
        <v>30848</v>
      </c>
    </row>
    <row r="184" spans="1:3" ht="15" customHeight="1">
      <c r="A184" s="452" t="s">
        <v>765</v>
      </c>
      <c r="B184" s="450"/>
      <c r="C184" s="399">
        <v>48</v>
      </c>
    </row>
    <row r="185" spans="1:3" ht="15" customHeight="1">
      <c r="A185" s="452" t="s">
        <v>791</v>
      </c>
      <c r="B185" s="450"/>
      <c r="C185" s="399">
        <v>656839</v>
      </c>
    </row>
    <row r="186" spans="1:3" ht="15" customHeight="1">
      <c r="A186" s="452" t="s">
        <v>792</v>
      </c>
      <c r="B186" s="450"/>
      <c r="C186" s="399">
        <v>91506</v>
      </c>
    </row>
    <row r="187" spans="1:3" ht="30" customHeight="1">
      <c r="A187" s="452" t="s">
        <v>793</v>
      </c>
      <c r="B187" s="450"/>
      <c r="C187" s="399">
        <v>565333</v>
      </c>
    </row>
    <row r="188" spans="1:3" ht="15" customHeight="1">
      <c r="A188" s="452" t="s">
        <v>768</v>
      </c>
      <c r="B188" s="450"/>
      <c r="C188" s="399">
        <v>166333</v>
      </c>
    </row>
    <row r="189" spans="1:3" ht="15" customHeight="1">
      <c r="A189" s="452" t="s">
        <v>770</v>
      </c>
      <c r="B189" s="450"/>
      <c r="C189" s="399">
        <v>166333</v>
      </c>
    </row>
    <row r="190" spans="1:3" ht="15" customHeight="1">
      <c r="A190" s="452" t="s">
        <v>884</v>
      </c>
      <c r="B190" s="450"/>
      <c r="C190" s="399">
        <v>15</v>
      </c>
    </row>
    <row r="191" ht="15">
      <c r="C191" s="400"/>
    </row>
    <row r="193" spans="1:3" ht="18.75">
      <c r="A193" s="4" t="s">
        <v>27</v>
      </c>
      <c r="B193" s="4"/>
      <c r="C193" s="73" t="s">
        <v>28</v>
      </c>
    </row>
  </sheetData>
  <sheetProtection/>
  <mergeCells count="163">
    <mergeCell ref="A186:B186"/>
    <mergeCell ref="A187:B187"/>
    <mergeCell ref="A188:B188"/>
    <mergeCell ref="A189:B189"/>
    <mergeCell ref="A190:B190"/>
    <mergeCell ref="A1:B1"/>
    <mergeCell ref="A180:B180"/>
    <mergeCell ref="A181:B181"/>
    <mergeCell ref="A182:B182"/>
    <mergeCell ref="A183:B183"/>
    <mergeCell ref="A184:B184"/>
    <mergeCell ref="A185:B185"/>
    <mergeCell ref="A173:B173"/>
    <mergeCell ref="A175:C175"/>
    <mergeCell ref="A176:B176"/>
    <mergeCell ref="A177:B177"/>
    <mergeCell ref="A178:B178"/>
    <mergeCell ref="A179:B179"/>
    <mergeCell ref="A170:B170"/>
    <mergeCell ref="A172:C172"/>
    <mergeCell ref="A163:B163"/>
    <mergeCell ref="A164:B164"/>
    <mergeCell ref="A166:C166"/>
    <mergeCell ref="A167:B167"/>
    <mergeCell ref="A168:B168"/>
    <mergeCell ref="A169:B169"/>
    <mergeCell ref="A156:B156"/>
    <mergeCell ref="A157:B157"/>
    <mergeCell ref="A158:B158"/>
    <mergeCell ref="A160:C160"/>
    <mergeCell ref="A161:B161"/>
    <mergeCell ref="A162:B162"/>
    <mergeCell ref="A150:C150"/>
    <mergeCell ref="A151:B151"/>
    <mergeCell ref="A152:B152"/>
    <mergeCell ref="A153:B153"/>
    <mergeCell ref="A154:B154"/>
    <mergeCell ref="A155:B155"/>
    <mergeCell ref="A142:B142"/>
    <mergeCell ref="A143:B143"/>
    <mergeCell ref="A145:C145"/>
    <mergeCell ref="A146:B146"/>
    <mergeCell ref="A147:B147"/>
    <mergeCell ref="A148:B148"/>
    <mergeCell ref="A135:B135"/>
    <mergeCell ref="A137:C137"/>
    <mergeCell ref="A138:B138"/>
    <mergeCell ref="A139:B139"/>
    <mergeCell ref="A140:B140"/>
    <mergeCell ref="A141:B141"/>
    <mergeCell ref="A129:C129"/>
    <mergeCell ref="A130:B130"/>
    <mergeCell ref="A131:B131"/>
    <mergeCell ref="A132:B132"/>
    <mergeCell ref="A133:B133"/>
    <mergeCell ref="A134:B134"/>
    <mergeCell ref="A124:C124"/>
    <mergeCell ref="A125:B125"/>
    <mergeCell ref="A126:B126"/>
    <mergeCell ref="A127:B127"/>
    <mergeCell ref="A122:B122"/>
    <mergeCell ref="A116:B116"/>
    <mergeCell ref="A117:B117"/>
    <mergeCell ref="A118:B118"/>
    <mergeCell ref="A119:B119"/>
    <mergeCell ref="A120:B120"/>
    <mergeCell ref="A121:B121"/>
    <mergeCell ref="A109:B109"/>
    <mergeCell ref="A110:B110"/>
    <mergeCell ref="A112:C112"/>
    <mergeCell ref="A113:B113"/>
    <mergeCell ref="A114:B114"/>
    <mergeCell ref="A115:B115"/>
    <mergeCell ref="A103:C103"/>
    <mergeCell ref="A104:B104"/>
    <mergeCell ref="A105:B105"/>
    <mergeCell ref="A106:B106"/>
    <mergeCell ref="A107:B107"/>
    <mergeCell ref="A108:B108"/>
    <mergeCell ref="A95:B95"/>
    <mergeCell ref="A96:B96"/>
    <mergeCell ref="A98:C98"/>
    <mergeCell ref="A99:B99"/>
    <mergeCell ref="A100:B100"/>
    <mergeCell ref="A101:B101"/>
    <mergeCell ref="A88:B88"/>
    <mergeCell ref="A89:B89"/>
    <mergeCell ref="A91:C91"/>
    <mergeCell ref="A92:B92"/>
    <mergeCell ref="A93:B93"/>
    <mergeCell ref="A94:B94"/>
    <mergeCell ref="A82:B82"/>
    <mergeCell ref="A83:B83"/>
    <mergeCell ref="A84:B84"/>
    <mergeCell ref="A85:B85"/>
    <mergeCell ref="A86:B86"/>
    <mergeCell ref="A87:B87"/>
    <mergeCell ref="A75:B75"/>
    <mergeCell ref="A76:B76"/>
    <mergeCell ref="A77:B77"/>
    <mergeCell ref="A78:B78"/>
    <mergeCell ref="A80:C80"/>
    <mergeCell ref="A81:B81"/>
    <mergeCell ref="A68:C68"/>
    <mergeCell ref="A69:B69"/>
    <mergeCell ref="A70:B70"/>
    <mergeCell ref="A71:B71"/>
    <mergeCell ref="A73:C73"/>
    <mergeCell ref="A74:B74"/>
    <mergeCell ref="A61:C61"/>
    <mergeCell ref="A62:B62"/>
    <mergeCell ref="A63:B63"/>
    <mergeCell ref="A64:B64"/>
    <mergeCell ref="A65:B65"/>
    <mergeCell ref="A66:B66"/>
    <mergeCell ref="A54:B54"/>
    <mergeCell ref="A55:B55"/>
    <mergeCell ref="A56:B56"/>
    <mergeCell ref="A57:B57"/>
    <mergeCell ref="A58:B58"/>
    <mergeCell ref="A59:B59"/>
    <mergeCell ref="A47:B47"/>
    <mergeCell ref="A48:B48"/>
    <mergeCell ref="A50:C50"/>
    <mergeCell ref="A51:B51"/>
    <mergeCell ref="A52:B52"/>
    <mergeCell ref="A53:B53"/>
    <mergeCell ref="A40:B40"/>
    <mergeCell ref="A41:B41"/>
    <mergeCell ref="A42:B42"/>
    <mergeCell ref="A43:B43"/>
    <mergeCell ref="A45:C45"/>
    <mergeCell ref="A46:B46"/>
    <mergeCell ref="A34:B34"/>
    <mergeCell ref="A35:B35"/>
    <mergeCell ref="A36:B36"/>
    <mergeCell ref="A37:B37"/>
    <mergeCell ref="A38:B38"/>
    <mergeCell ref="A39:B39"/>
    <mergeCell ref="A27:B27"/>
    <mergeCell ref="A28:B28"/>
    <mergeCell ref="A29:B29"/>
    <mergeCell ref="A30:B30"/>
    <mergeCell ref="A32:C32"/>
    <mergeCell ref="A33:B33"/>
    <mergeCell ref="A20:C20"/>
    <mergeCell ref="A21:B21"/>
    <mergeCell ref="A22:B22"/>
    <mergeCell ref="A23:B23"/>
    <mergeCell ref="A24:B24"/>
    <mergeCell ref="A26:C26"/>
    <mergeCell ref="A12:B12"/>
    <mergeCell ref="A14:C14"/>
    <mergeCell ref="A15:B15"/>
    <mergeCell ref="A16:B16"/>
    <mergeCell ref="A17:B17"/>
    <mergeCell ref="A18:B18"/>
    <mergeCell ref="B5:C5"/>
    <mergeCell ref="A6:B6"/>
    <mergeCell ref="A8:C8"/>
    <mergeCell ref="A9:B9"/>
    <mergeCell ref="A10:B10"/>
    <mergeCell ref="A11:B11"/>
  </mergeCells>
  <printOptions horizontalCentered="1"/>
  <pageMargins left="0.984251968503937" right="0.5905511811023623" top="0.3937007874015748" bottom="0.3937007874015748" header="0.1968503937007874" footer="0.1968503937007874"/>
  <pageSetup horizontalDpi="600" verticalDpi="600" orientation="portrait" pageOrder="overThenDown" scale="90" r:id="rId1"/>
  <headerFooter>
    <oddFooter>&amp;R&amp;P</oddFooter>
  </headerFooter>
  <rowBreaks count="1" manualBreakCount="1">
    <brk id="1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13.421875" style="0" customWidth="1"/>
    <col min="4" max="4" width="14.00390625" style="0" customWidth="1"/>
    <col min="5" max="5" width="14.421875" style="0" customWidth="1"/>
  </cols>
  <sheetData>
    <row r="1" spans="1:5" ht="15.75">
      <c r="A1" s="25"/>
      <c r="B1" s="25"/>
      <c r="E1" s="68" t="s">
        <v>416</v>
      </c>
    </row>
    <row r="2" spans="1:5" ht="15.75">
      <c r="A2" s="25"/>
      <c r="B2" s="25"/>
      <c r="E2" s="68" t="s">
        <v>914</v>
      </c>
    </row>
    <row r="3" spans="1:5" ht="15.75">
      <c r="A3" s="25"/>
      <c r="B3" s="25"/>
      <c r="E3" s="68" t="s">
        <v>915</v>
      </c>
    </row>
    <row r="5" spans="1:6" ht="34.5" customHeight="1">
      <c r="A5" s="537" t="s">
        <v>413</v>
      </c>
      <c r="B5" s="537"/>
      <c r="C5" s="537"/>
      <c r="D5" s="537"/>
      <c r="E5" s="537"/>
      <c r="F5" s="154"/>
    </row>
    <row r="6" spans="1:6" ht="15">
      <c r="A6" s="135"/>
      <c r="B6" s="135"/>
      <c r="C6" s="135"/>
      <c r="D6" s="135"/>
      <c r="E6" s="136" t="s">
        <v>403</v>
      </c>
      <c r="F6" s="135"/>
    </row>
    <row r="7" spans="1:6" ht="15">
      <c r="A7" s="150" t="s">
        <v>410</v>
      </c>
      <c r="B7" s="151"/>
      <c r="C7" s="152" t="s">
        <v>411</v>
      </c>
      <c r="D7" s="153" t="s">
        <v>412</v>
      </c>
      <c r="E7" s="153" t="s">
        <v>752</v>
      </c>
      <c r="F7" s="135"/>
    </row>
    <row r="8" spans="1:6" ht="15.75">
      <c r="A8" s="145" t="s">
        <v>353</v>
      </c>
      <c r="B8" s="146" t="s">
        <v>54</v>
      </c>
      <c r="C8" s="147">
        <f>SUM(C9)</f>
        <v>1239912</v>
      </c>
      <c r="D8" s="147">
        <f>SUM(D9)</f>
        <v>1472567</v>
      </c>
      <c r="E8" s="147">
        <f>SUM(E9)</f>
        <v>1546195</v>
      </c>
      <c r="F8" s="137"/>
    </row>
    <row r="9" spans="1:6" ht="30">
      <c r="A9" s="144"/>
      <c r="B9" s="138" t="s">
        <v>281</v>
      </c>
      <c r="C9" s="139">
        <v>1239912</v>
      </c>
      <c r="D9" s="140">
        <v>1472567</v>
      </c>
      <c r="E9" s="140">
        <v>1546195</v>
      </c>
      <c r="F9" s="135"/>
    </row>
    <row r="10" spans="1:6" ht="14.25">
      <c r="A10" s="148" t="s">
        <v>356</v>
      </c>
      <c r="B10" s="146" t="s">
        <v>404</v>
      </c>
      <c r="C10" s="149">
        <f>SUM(C11:C14)</f>
        <v>1389214</v>
      </c>
      <c r="D10" s="149">
        <f>SUM(D11:D14)</f>
        <v>1472567</v>
      </c>
      <c r="E10" s="149">
        <f>SUM(E11:E14)</f>
        <v>1546195</v>
      </c>
      <c r="F10" s="137"/>
    </row>
    <row r="11" spans="1:6" ht="15">
      <c r="A11" s="144">
        <v>1</v>
      </c>
      <c r="B11" s="138" t="s">
        <v>405</v>
      </c>
      <c r="C11" s="139">
        <v>0</v>
      </c>
      <c r="D11" s="141">
        <v>50000</v>
      </c>
      <c r="E11" s="141">
        <v>50000</v>
      </c>
      <c r="F11" s="135"/>
    </row>
    <row r="12" spans="1:6" ht="30">
      <c r="A12" s="144">
        <v>2</v>
      </c>
      <c r="B12" s="138" t="s">
        <v>406</v>
      </c>
      <c r="C12" s="139">
        <v>162000</v>
      </c>
      <c r="D12" s="140">
        <v>180000</v>
      </c>
      <c r="E12" s="140">
        <v>200000</v>
      </c>
      <c r="F12" s="135"/>
    </row>
    <row r="13" spans="1:6" ht="15">
      <c r="A13" s="144">
        <v>3</v>
      </c>
      <c r="B13" s="138" t="s">
        <v>407</v>
      </c>
      <c r="C13" s="139">
        <v>1188614</v>
      </c>
      <c r="D13" s="141">
        <f>D9-270000</f>
        <v>1202567</v>
      </c>
      <c r="E13" s="141">
        <f>E9-290000</f>
        <v>1256195</v>
      </c>
      <c r="F13" s="135"/>
    </row>
    <row r="14" spans="1:6" ht="15">
      <c r="A14" s="144">
        <v>4</v>
      </c>
      <c r="B14" s="138" t="s">
        <v>408</v>
      </c>
      <c r="C14" s="139">
        <v>38600</v>
      </c>
      <c r="D14" s="141">
        <v>40000</v>
      </c>
      <c r="E14" s="141">
        <v>40000</v>
      </c>
      <c r="F14" s="135"/>
    </row>
    <row r="15" spans="1:6" ht="14.25">
      <c r="A15" s="148" t="s">
        <v>393</v>
      </c>
      <c r="B15" s="146" t="s">
        <v>409</v>
      </c>
      <c r="C15" s="147">
        <f>SUM(C16)</f>
        <v>149302</v>
      </c>
      <c r="D15" s="147">
        <f>SUM(D16)</f>
        <v>0</v>
      </c>
      <c r="E15" s="147">
        <f>SUM(E16)</f>
        <v>0</v>
      </c>
      <c r="F15" s="137"/>
    </row>
    <row r="16" spans="1:6" ht="15">
      <c r="A16" s="144"/>
      <c r="B16" s="142" t="s">
        <v>414</v>
      </c>
      <c r="C16" s="143">
        <v>149302</v>
      </c>
      <c r="D16" s="143">
        <v>0</v>
      </c>
      <c r="E16" s="143">
        <v>0</v>
      </c>
      <c r="F16" s="135"/>
    </row>
    <row r="19" spans="1:5" ht="15.75">
      <c r="A19" s="1" t="s">
        <v>27</v>
      </c>
      <c r="B19" s="1"/>
      <c r="C19" s="1"/>
      <c r="D19" s="1"/>
      <c r="E19" s="10" t="s">
        <v>917</v>
      </c>
    </row>
  </sheetData>
  <sheetProtection/>
  <mergeCells count="1">
    <mergeCell ref="A5:E5"/>
  </mergeCells>
  <printOptions/>
  <pageMargins left="0.984251968503937" right="0.7874015748031497" top="0.5905511811023623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2016-02-18T12:40:25Z</cp:lastPrinted>
  <dcterms:created xsi:type="dcterms:W3CDTF">2007-01-09T12:30:29Z</dcterms:created>
  <dcterms:modified xsi:type="dcterms:W3CDTF">2016-02-18T12:40:27Z</dcterms:modified>
  <cp:category/>
  <cp:version/>
  <cp:contentType/>
  <cp:contentStatus/>
</cp:coreProperties>
</file>