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0" windowHeight="11010"/>
  </bookViews>
  <sheets>
    <sheet name="Skolu sporta zāles" sheetId="1" r:id="rId1"/>
  </sheets>
  <definedNames>
    <definedName name="_xlnm.Print_Area" localSheetId="0">'Skolu sporta zāles'!$A$1:$N$67</definedName>
  </definedNames>
  <calcPr calcId="145621"/>
</workbook>
</file>

<file path=xl/calcChain.xml><?xml version="1.0" encoding="utf-8"?>
<calcChain xmlns="http://schemas.openxmlformats.org/spreadsheetml/2006/main">
  <c r="F61" i="1" l="1"/>
  <c r="E61" i="1"/>
  <c r="D61" i="1"/>
  <c r="C61" i="1"/>
  <c r="B61" i="1"/>
  <c r="B62" i="1" s="1"/>
  <c r="D53" i="1"/>
  <c r="C53" i="1"/>
  <c r="B53" i="1"/>
  <c r="B54" i="1" s="1"/>
  <c r="M38" i="1"/>
  <c r="M37" i="1"/>
  <c r="M36" i="1"/>
  <c r="M35" i="1"/>
  <c r="M34" i="1"/>
  <c r="M33" i="1"/>
  <c r="M32" i="1"/>
  <c r="M31" i="1"/>
  <c r="M30" i="1"/>
  <c r="L29" i="1"/>
  <c r="L39" i="1" s="1"/>
  <c r="L42" i="1" s="1"/>
  <c r="K29" i="1"/>
  <c r="K39" i="1" s="1"/>
  <c r="J29" i="1"/>
  <c r="J39" i="1" s="1"/>
  <c r="H29" i="1"/>
  <c r="H39" i="1" s="1"/>
  <c r="H42" i="1" s="1"/>
  <c r="G29" i="1"/>
  <c r="G39" i="1" s="1"/>
  <c r="G42" i="1" s="1"/>
  <c r="F29" i="1"/>
  <c r="F39" i="1" s="1"/>
  <c r="D29" i="1"/>
  <c r="D39" i="1" s="1"/>
  <c r="C29" i="1"/>
  <c r="C39" i="1" s="1"/>
  <c r="M28" i="1"/>
  <c r="L28" i="1"/>
  <c r="K28" i="1"/>
  <c r="J28" i="1"/>
  <c r="I28" i="1"/>
  <c r="H28" i="1"/>
  <c r="G28" i="1"/>
  <c r="F28" i="1"/>
  <c r="E28" i="1"/>
  <c r="D28" i="1"/>
  <c r="C28" i="1"/>
  <c r="M22" i="1"/>
  <c r="L22" i="1"/>
  <c r="K22" i="1"/>
  <c r="J22" i="1"/>
  <c r="I22" i="1"/>
  <c r="H22" i="1"/>
  <c r="G22" i="1"/>
  <c r="F22" i="1"/>
  <c r="E22" i="1"/>
  <c r="D22" i="1"/>
  <c r="C22" i="1"/>
  <c r="M21" i="1"/>
  <c r="M18" i="1"/>
  <c r="M17" i="1"/>
  <c r="M16" i="1"/>
  <c r="L16" i="1"/>
  <c r="K16" i="1"/>
  <c r="J16" i="1"/>
  <c r="I16" i="1"/>
  <c r="H16" i="1"/>
  <c r="G16" i="1"/>
  <c r="F16" i="1"/>
  <c r="E16" i="1"/>
  <c r="D16" i="1"/>
  <c r="C16" i="1"/>
  <c r="M15" i="1"/>
  <c r="M14" i="1"/>
  <c r="M13" i="1"/>
  <c r="M12" i="1"/>
  <c r="M11" i="1"/>
  <c r="M23" i="1" s="1"/>
  <c r="M25" i="1" s="1"/>
  <c r="L11" i="1"/>
  <c r="L23" i="1" s="1"/>
  <c r="L25" i="1" s="1"/>
  <c r="K11" i="1"/>
  <c r="K23" i="1" s="1"/>
  <c r="K25" i="1" s="1"/>
  <c r="I11" i="1"/>
  <c r="H11" i="1"/>
  <c r="H23" i="1" s="1"/>
  <c r="H25" i="1" s="1"/>
  <c r="H43" i="1" s="1"/>
  <c r="H44" i="1" s="1"/>
  <c r="G11" i="1"/>
  <c r="G40" i="1" s="1"/>
  <c r="E11" i="1"/>
  <c r="D11" i="1"/>
  <c r="D23" i="1" s="1"/>
  <c r="D25" i="1" s="1"/>
  <c r="C11" i="1"/>
  <c r="C40" i="1" s="1"/>
  <c r="M10" i="1"/>
  <c r="L10" i="1"/>
  <c r="L40" i="1" s="1"/>
  <c r="K10" i="1"/>
  <c r="J10" i="1"/>
  <c r="I10" i="1"/>
  <c r="H10" i="1"/>
  <c r="H40" i="1" s="1"/>
  <c r="G10" i="1"/>
  <c r="F10" i="1"/>
  <c r="E10" i="1"/>
  <c r="D10" i="1"/>
  <c r="D40" i="1" s="1"/>
  <c r="C10" i="1"/>
  <c r="J40" i="1" l="1"/>
  <c r="J42" i="1" s="1"/>
  <c r="I39" i="1"/>
  <c r="M39" i="1"/>
  <c r="D43" i="1"/>
  <c r="D44" i="1" s="1"/>
  <c r="C42" i="1"/>
  <c r="D42" i="1"/>
  <c r="L43" i="1"/>
  <c r="L44" i="1" s="1"/>
  <c r="C23" i="1"/>
  <c r="C25" i="1" s="1"/>
  <c r="C43" i="1" s="1"/>
  <c r="C44" i="1" s="1"/>
  <c r="G23" i="1"/>
  <c r="G25" i="1" s="1"/>
  <c r="G43" i="1" s="1"/>
  <c r="G44" i="1" s="1"/>
  <c r="K40" i="1"/>
  <c r="K42" i="1" s="1"/>
  <c r="K43" i="1" s="1"/>
  <c r="K44" i="1" s="1"/>
  <c r="E23" i="1"/>
  <c r="E25" i="1" s="1"/>
  <c r="I23" i="1"/>
  <c r="I25" i="1" s="1"/>
  <c r="M40" i="1"/>
  <c r="F11" i="1"/>
  <c r="F40" i="1" s="1"/>
  <c r="F42" i="1" s="1"/>
  <c r="J11" i="1"/>
  <c r="J23" i="1"/>
  <c r="J25" i="1" s="1"/>
  <c r="E29" i="1"/>
  <c r="E39" i="1" s="1"/>
  <c r="I29" i="1"/>
  <c r="I40" i="1" s="1"/>
  <c r="M29" i="1"/>
  <c r="J43" i="1" l="1"/>
  <c r="J44" i="1" s="1"/>
  <c r="E40" i="1"/>
  <c r="E42" i="1" s="1"/>
  <c r="E43" i="1" s="1"/>
  <c r="E44" i="1" s="1"/>
  <c r="M42" i="1"/>
  <c r="M43" i="1" s="1"/>
  <c r="M44" i="1" s="1"/>
  <c r="F23" i="1"/>
  <c r="F25" i="1" s="1"/>
  <c r="F43" i="1" s="1"/>
  <c r="F44" i="1" s="1"/>
  <c r="I42" i="1"/>
  <c r="I43" i="1" s="1"/>
  <c r="I44" i="1" s="1"/>
</calcChain>
</file>

<file path=xl/comments1.xml><?xml version="1.0" encoding="utf-8"?>
<comments xmlns="http://schemas.openxmlformats.org/spreadsheetml/2006/main">
  <authors>
    <author>PII</author>
  </authors>
  <commentList>
    <comment ref="C36" authorId="0">
      <text>
        <r>
          <rPr>
            <b/>
            <sz val="9"/>
            <color indexed="81"/>
            <rFont val="Tahoma"/>
            <family val="2"/>
            <charset val="186"/>
          </rPr>
          <t>PII:</t>
        </r>
        <r>
          <rPr>
            <sz val="9"/>
            <color indexed="81"/>
            <rFont val="Tahoma"/>
            <family val="2"/>
            <charset val="186"/>
          </rPr>
          <t xml:space="preserve">
inventārs + mīkstais inv.</t>
        </r>
      </text>
    </comment>
  </commentList>
</comments>
</file>

<file path=xl/sharedStrings.xml><?xml version="1.0" encoding="utf-8"?>
<sst xmlns="http://schemas.openxmlformats.org/spreadsheetml/2006/main" count="81" uniqueCount="66">
  <si>
    <t>APSTIPRINU</t>
  </si>
  <si>
    <t>Jelgavas pilsētas pašvaldības iestādes "Jelgavas izglītības pārvalde" vadītāja</t>
  </si>
  <si>
    <t>G.Auza</t>
  </si>
  <si>
    <t>2015.gada 9.februārī</t>
  </si>
  <si>
    <t>Jelgavas pilsētas pašvaldības vispārējās izglītības iestāžu maksas pakalpojumu grozījumu ekonomiskais pamatojums</t>
  </si>
  <si>
    <t>Telpu nomas maksas aprēķinātas saskaņā ar 2010.gada 8.jūnija MK noteikumiem Nr.515 "Noteikumi par valsts un pašvaldību mantas iznomāšanas kārtību, nomas maksas noteikšanas metodiku un nomas līguma tipveida nosacījumiem"</t>
  </si>
  <si>
    <t>Budžeta plāns 2015.gadam</t>
  </si>
  <si>
    <t>Izdevumu klasifikācijas kods</t>
  </si>
  <si>
    <t xml:space="preserve">Rādītājs </t>
  </si>
  <si>
    <t>Jelgavas Tehnoloģiju vidusskola</t>
  </si>
  <si>
    <t xml:space="preserve">Jelgavas Valsts ģimnāzija </t>
  </si>
  <si>
    <t xml:space="preserve">Jelgavas 4. vidusskola </t>
  </si>
  <si>
    <t xml:space="preserve">Jelgavas 5. vidusskola </t>
  </si>
  <si>
    <t xml:space="preserve">Jelgavas 6. vidusskola </t>
  </si>
  <si>
    <t xml:space="preserve">Jelgavas Spīdolas ģimnāzija </t>
  </si>
  <si>
    <t xml:space="preserve">Jelgavas 2. pamatskola </t>
  </si>
  <si>
    <t xml:space="preserve">Jelgavas 3. sākumskola </t>
  </si>
  <si>
    <t xml:space="preserve">Jelgavas 4. sākumskola </t>
  </si>
  <si>
    <t xml:space="preserve">Jelgavas Vakara (maiņu) vidusskola </t>
  </si>
  <si>
    <t>Jelgavas 1.internāt-pamatskola</t>
  </si>
  <si>
    <t>Tiešās izmaksas (Tizm)</t>
  </si>
  <si>
    <t>Iestāžu darbinieku mēnešalga  (tehniskais strādnieks, apkopēja, ēkas un teritorijas uzraugs)</t>
  </si>
  <si>
    <t>Darba devēja valsts sociālās apdrošināšanas obligātās iemaksas  (tehniskais strādnieks, apkopēja, ēkas un teritorijas uzraugs)</t>
  </si>
  <si>
    <t>Izdevumi par apkuri</t>
  </si>
  <si>
    <t>Izdevumi par ūdeni un kanalizāciju</t>
  </si>
  <si>
    <t>Izdevumi par elektroenerģiju</t>
  </si>
  <si>
    <t>Izdevumi par pārējiem komunālajiem pakalpojumiem</t>
  </si>
  <si>
    <t>Ēku, būvju un telpu kārtējais remonts (2,5% apmērā)</t>
  </si>
  <si>
    <t>Iekārtas, inventāra un aparatūras remonts, tehniskā apkalpošana</t>
  </si>
  <si>
    <t>Ēku, būvju un telpu uzturēšana</t>
  </si>
  <si>
    <t>Ēkas apdrošināšana</t>
  </si>
  <si>
    <t>Zemes noma</t>
  </si>
  <si>
    <t>Kārtējā remonta un iestāžu uzturēšanas materiāli</t>
  </si>
  <si>
    <t>Kapitālais remonts un rekonstrukcija  (2,5% apmērā)</t>
  </si>
  <si>
    <t>Tizm, gadā</t>
  </si>
  <si>
    <r>
      <t>Kopējā telpu platība, m</t>
    </r>
    <r>
      <rPr>
        <vertAlign val="superscript"/>
        <sz val="10"/>
        <rFont val="Times New Roman"/>
        <family val="1"/>
        <charset val="186"/>
      </rPr>
      <t>2</t>
    </r>
  </si>
  <si>
    <r>
      <t>Tizm uz 1 m</t>
    </r>
    <r>
      <rPr>
        <b/>
        <vertAlign val="superscript"/>
        <sz val="10"/>
        <rFont val="Times New Roman"/>
        <family val="1"/>
        <charset val="186"/>
      </rPr>
      <t>2</t>
    </r>
    <r>
      <rPr>
        <b/>
        <sz val="10"/>
        <rFont val="Times New Roman"/>
        <family val="1"/>
        <charset val="186"/>
      </rPr>
      <t xml:space="preserve">, 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/gadā</t>
    </r>
  </si>
  <si>
    <t>Netiešās izmaksas (Nizm)</t>
  </si>
  <si>
    <t>Administrācijas izdevumi:</t>
  </si>
  <si>
    <t>Iestāžu darbinieku mēnešalga (administrācija - dir. vietn.saimn.darbā, sekretāre)</t>
  </si>
  <si>
    <t>Darba devēja valsts sociālās apdrošināšanas obligātās iemaksas (administrācija - dir. vietn.saimn.darbā, sekretāre)</t>
  </si>
  <si>
    <t>Pārējie sakaru pakalpojumi</t>
  </si>
  <si>
    <t>Pārējie iestādes administratīvie izdevumi</t>
  </si>
  <si>
    <t>Apdrošināšanas izdevumi (bez ēkas apdrošināšanas)</t>
  </si>
  <si>
    <t>Pārējie remontdarbu un iestāžu uzturēšanas pakalpojumi</t>
  </si>
  <si>
    <t>Ēku, telpu īre un noma</t>
  </si>
  <si>
    <t>Biroja preces</t>
  </si>
  <si>
    <t>Inventārs</t>
  </si>
  <si>
    <t>Saimniecības pamatlīdzekļi</t>
  </si>
  <si>
    <t>Datortehnika, sakaru un cita biroja tehnika</t>
  </si>
  <si>
    <t>KOPĀ</t>
  </si>
  <si>
    <r>
      <t>Koeficients</t>
    </r>
    <r>
      <rPr>
        <sz val="10"/>
        <rFont val="Times New Roman"/>
        <family val="1"/>
        <charset val="186"/>
      </rPr>
      <t xml:space="preserve"> (īpatsvars)</t>
    </r>
  </si>
  <si>
    <r>
      <t>Nizm uz 1 m</t>
    </r>
    <r>
      <rPr>
        <b/>
        <vertAlign val="superscript"/>
        <sz val="10"/>
        <rFont val="Times New Roman"/>
        <family val="1"/>
        <charset val="186"/>
      </rPr>
      <t>2</t>
    </r>
    <r>
      <rPr>
        <b/>
        <sz val="10"/>
        <rFont val="Times New Roman"/>
        <family val="1"/>
        <charset val="186"/>
      </rPr>
      <t xml:space="preserve">, 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/gadā</t>
    </r>
  </si>
  <si>
    <r>
      <t>Tizm + Nizm uz 1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, 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/gadā</t>
    </r>
  </si>
  <si>
    <r>
      <t>Tizm + Nizm uz 1 m</t>
    </r>
    <r>
      <rPr>
        <b/>
        <vertAlign val="superscript"/>
        <sz val="10"/>
        <rFont val="Times New Roman"/>
        <family val="1"/>
        <charset val="186"/>
      </rPr>
      <t>2</t>
    </r>
    <r>
      <rPr>
        <b/>
        <sz val="10"/>
        <rFont val="Times New Roman"/>
        <family val="1"/>
        <charset val="186"/>
      </rPr>
      <t xml:space="preserve">, 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 xml:space="preserve">/mēnesī </t>
    </r>
    <r>
      <rPr>
        <sz val="10"/>
        <rFont val="Times New Roman"/>
        <family val="1"/>
        <charset val="186"/>
      </rPr>
      <t>(bez PVN)</t>
    </r>
  </si>
  <si>
    <r>
      <t>Vispārējās izglītības iestādes ar sporta zālēm, kuru platība ir līdz 350 m</t>
    </r>
    <r>
      <rPr>
        <i/>
        <vertAlign val="superscript"/>
        <sz val="11"/>
        <color indexed="8"/>
        <rFont val="Times New Roman"/>
        <family val="1"/>
        <charset val="186"/>
      </rPr>
      <t>2</t>
    </r>
  </si>
  <si>
    <t>Rādītājs</t>
  </si>
  <si>
    <r>
      <t>Platība, m</t>
    </r>
    <r>
      <rPr>
        <b/>
        <vertAlign val="superscript"/>
        <sz val="11"/>
        <color indexed="8"/>
        <rFont val="Times New Roman"/>
        <family val="1"/>
        <charset val="186"/>
      </rPr>
      <t>2</t>
    </r>
  </si>
  <si>
    <t>Iznomājamās stundas mēnesī, h</t>
  </si>
  <si>
    <r>
      <t>Tizm + Nizm uz 1 m</t>
    </r>
    <r>
      <rPr>
        <b/>
        <vertAlign val="superscript"/>
        <sz val="11"/>
        <color indexed="8"/>
        <rFont val="Times New Roman"/>
        <family val="1"/>
        <charset val="186"/>
      </rPr>
      <t>2</t>
    </r>
    <r>
      <rPr>
        <b/>
        <sz val="11"/>
        <color indexed="8"/>
        <rFont val="Times New Roman"/>
        <family val="1"/>
        <charset val="186"/>
      </rPr>
      <t>, euro/mēnesī (bez PVN)</t>
    </r>
  </si>
  <si>
    <t>Cena euro/h</t>
  </si>
  <si>
    <t>Vidējā cena euro/h (bez PVN)</t>
  </si>
  <si>
    <r>
      <t>Vispārējās izglītības iestādes ar sporta zālēm, kuru platība ir sākot no 500 m</t>
    </r>
    <r>
      <rPr>
        <i/>
        <vertAlign val="superscript"/>
        <sz val="11"/>
        <color indexed="8"/>
        <rFont val="Times New Roman"/>
        <family val="1"/>
        <charset val="186"/>
      </rPr>
      <t>2</t>
    </r>
  </si>
  <si>
    <t>Sagatavoja                                                   V. Pēce</t>
  </si>
  <si>
    <t>Pārbaudīja                                                     I.Kresa</t>
  </si>
  <si>
    <t>09.02.2015.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</si>
</sst>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Ls&quot;\ * #,##0.00_-;\-&quot;Ls&quot;\ * #,##0.00_-;_-&quot;Ls&quot;\ * &quot;-&quot;??_-;_-@_-"/>
    <numFmt numFmtId="164" formatCode="0.000"/>
  </numFmts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i/>
      <vertAlign val="superscript"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vertAlign val="superscript"/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1" xfId="1" applyFont="1" applyBorder="1" applyAlignment="1"/>
    <xf numFmtId="0" fontId="5" fillId="0" borderId="0" xfId="0" applyFont="1" applyAlignment="1"/>
    <xf numFmtId="0" fontId="3" fillId="0" borderId="0" xfId="1" applyFont="1" applyBorder="1" applyAlignment="1"/>
    <xf numFmtId="0" fontId="7" fillId="0" borderId="0" xfId="1" applyFont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1" applyProtection="1">
      <protection locked="0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3" fontId="7" fillId="0" borderId="11" xfId="1" applyNumberFormat="1" applyFont="1" applyFill="1" applyBorder="1" applyAlignment="1">
      <alignment horizontal="center" vertical="center"/>
    </xf>
    <xf numFmtId="3" fontId="7" fillId="0" borderId="12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3" fontId="7" fillId="0" borderId="11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3" fontId="7" fillId="0" borderId="15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15" xfId="1" applyNumberFormat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 wrapText="1"/>
    </xf>
    <xf numFmtId="3" fontId="7" fillId="0" borderId="19" xfId="1" applyNumberFormat="1" applyFont="1" applyBorder="1" applyAlignment="1">
      <alignment horizontal="center" vertical="center"/>
    </xf>
    <xf numFmtId="3" fontId="7" fillId="0" borderId="20" xfId="1" applyNumberFormat="1" applyFont="1" applyBorder="1" applyAlignment="1">
      <alignment horizontal="center" vertical="center"/>
    </xf>
    <xf numFmtId="3" fontId="7" fillId="0" borderId="21" xfId="1" applyNumberFormat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center" vertical="center"/>
    </xf>
    <xf numFmtId="3" fontId="7" fillId="0" borderId="23" xfId="1" applyNumberFormat="1" applyFont="1" applyFill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/>
    </xf>
    <xf numFmtId="0" fontId="2" fillId="0" borderId="0" xfId="1" applyFont="1"/>
    <xf numFmtId="3" fontId="7" fillId="0" borderId="26" xfId="1" applyNumberFormat="1" applyFont="1" applyFill="1" applyBorder="1" applyAlignment="1">
      <alignment horizontal="center" vertical="center"/>
    </xf>
    <xf numFmtId="3" fontId="7" fillId="0" borderId="27" xfId="1" applyNumberFormat="1" applyFont="1" applyFill="1" applyBorder="1" applyAlignment="1">
      <alignment horizontal="center" vertical="center"/>
    </xf>
    <xf numFmtId="3" fontId="7" fillId="0" borderId="28" xfId="1" applyNumberFormat="1" applyFont="1" applyFill="1" applyBorder="1" applyAlignment="1">
      <alignment horizontal="center" vertical="center"/>
    </xf>
    <xf numFmtId="4" fontId="12" fillId="0" borderId="31" xfId="1" applyNumberFormat="1" applyFont="1" applyFill="1" applyBorder="1" applyAlignment="1">
      <alignment horizontal="center" vertical="center"/>
    </xf>
    <xf numFmtId="4" fontId="12" fillId="0" borderId="32" xfId="1" applyNumberFormat="1" applyFont="1" applyFill="1" applyBorder="1" applyAlignment="1">
      <alignment horizontal="center" vertical="center"/>
    </xf>
    <xf numFmtId="4" fontId="12" fillId="0" borderId="33" xfId="1" applyNumberFormat="1" applyFont="1" applyFill="1" applyBorder="1" applyAlignment="1">
      <alignment horizontal="center" vertical="center"/>
    </xf>
    <xf numFmtId="0" fontId="13" fillId="0" borderId="0" xfId="1" applyFont="1"/>
    <xf numFmtId="0" fontId="7" fillId="0" borderId="1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3" fontId="7" fillId="0" borderId="33" xfId="1" applyNumberFormat="1" applyFont="1" applyFill="1" applyBorder="1" applyAlignment="1">
      <alignment horizontal="center" vertical="center"/>
    </xf>
    <xf numFmtId="0" fontId="7" fillId="0" borderId="26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164" fontId="7" fillId="0" borderId="39" xfId="1" applyNumberFormat="1" applyFont="1" applyFill="1" applyBorder="1" applyAlignment="1">
      <alignment horizontal="center" vertical="center"/>
    </xf>
    <xf numFmtId="2" fontId="12" fillId="0" borderId="11" xfId="1" applyNumberFormat="1" applyFont="1" applyFill="1" applyBorder="1" applyAlignment="1">
      <alignment horizontal="center" vertical="center"/>
    </xf>
    <xf numFmtId="2" fontId="12" fillId="0" borderId="12" xfId="1" applyNumberFormat="1" applyFont="1" applyFill="1" applyBorder="1" applyAlignment="1">
      <alignment horizontal="center" vertical="center"/>
    </xf>
    <xf numFmtId="2" fontId="12" fillId="0" borderId="13" xfId="1" applyNumberFormat="1" applyFont="1" applyFill="1" applyBorder="1" applyAlignment="1">
      <alignment horizontal="center" vertical="center"/>
    </xf>
    <xf numFmtId="2" fontId="7" fillId="0" borderId="18" xfId="1" applyNumberFormat="1" applyFont="1" applyFill="1" applyBorder="1" applyAlignment="1">
      <alignment horizontal="center" vertical="center"/>
    </xf>
    <xf numFmtId="2" fontId="7" fillId="0" borderId="42" xfId="1" applyNumberFormat="1" applyFont="1" applyFill="1" applyBorder="1" applyAlignment="1">
      <alignment horizontal="center" vertical="center"/>
    </xf>
    <xf numFmtId="2" fontId="7" fillId="0" borderId="33" xfId="1" applyNumberFormat="1" applyFont="1" applyFill="1" applyBorder="1" applyAlignment="1">
      <alignment horizontal="center" vertical="center"/>
    </xf>
    <xf numFmtId="2" fontId="12" fillId="0" borderId="5" xfId="1" applyNumberFormat="1" applyFont="1" applyFill="1" applyBorder="1" applyAlignment="1">
      <alignment horizontal="center" vertical="center"/>
    </xf>
    <xf numFmtId="2" fontId="12" fillId="0" borderId="23" xfId="1" applyNumberFormat="1" applyFont="1" applyFill="1" applyBorder="1" applyAlignment="1">
      <alignment horizontal="center" vertical="center"/>
    </xf>
    <xf numFmtId="2" fontId="12" fillId="0" borderId="6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2" fontId="12" fillId="0" borderId="0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2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0" applyFont="1"/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12" fillId="0" borderId="0" xfId="1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left" vertical="center" indent="1"/>
    </xf>
    <xf numFmtId="0" fontId="12" fillId="0" borderId="0" xfId="1" applyFont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1" applyBorder="1"/>
    <xf numFmtId="4" fontId="7" fillId="0" borderId="0" xfId="1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" fontId="12" fillId="0" borderId="0" xfId="1" applyNumberFormat="1" applyFont="1" applyBorder="1" applyAlignment="1">
      <alignment vertical="center"/>
    </xf>
    <xf numFmtId="0" fontId="17" fillId="0" borderId="11" xfId="0" applyFont="1" applyFill="1" applyBorder="1" applyAlignment="1">
      <alignment horizontal="center" wrapText="1"/>
    </xf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0" fontId="7" fillId="0" borderId="0" xfId="1" applyFont="1" applyFill="1" applyBorder="1" applyAlignment="1"/>
    <xf numFmtId="0" fontId="2" fillId="0" borderId="0" xfId="1" applyFill="1" applyBorder="1" applyAlignment="1"/>
    <xf numFmtId="0" fontId="2" fillId="0" borderId="0" xfId="1" applyFill="1" applyBorder="1"/>
    <xf numFmtId="0" fontId="4" fillId="0" borderId="0" xfId="1" applyFont="1"/>
    <xf numFmtId="0" fontId="8" fillId="0" borderId="38" xfId="1" applyFont="1" applyFill="1" applyBorder="1" applyAlignment="1">
      <alignment horizontal="left" vertical="center" wrapText="1"/>
    </xf>
    <xf numFmtId="0" fontId="8" fillId="0" borderId="26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8" fillId="0" borderId="7" xfId="1" applyNumberFormat="1" applyFont="1" applyBorder="1" applyAlignment="1">
      <alignment horizontal="left" vertical="center" indent="2"/>
    </xf>
    <xf numFmtId="0" fontId="8" fillId="0" borderId="8" xfId="1" applyNumberFormat="1" applyFont="1" applyBorder="1" applyAlignment="1">
      <alignment horizontal="left" vertical="center" indent="2"/>
    </xf>
    <xf numFmtId="0" fontId="3" fillId="0" borderId="22" xfId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/>
    </xf>
    <xf numFmtId="0" fontId="3" fillId="0" borderId="24" xfId="1" applyFont="1" applyFill="1" applyBorder="1" applyAlignment="1">
      <alignment horizontal="left" vertical="center"/>
    </xf>
    <xf numFmtId="0" fontId="3" fillId="0" borderId="25" xfId="1" applyFont="1" applyFill="1" applyBorder="1" applyAlignment="1">
      <alignment horizontal="left" vertical="center"/>
    </xf>
    <xf numFmtId="0" fontId="8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horizontal="left" vertical="center"/>
    </xf>
    <xf numFmtId="0" fontId="8" fillId="0" borderId="24" xfId="1" applyFont="1" applyFill="1" applyBorder="1" applyAlignment="1">
      <alignment horizontal="left" vertical="center" wrapText="1"/>
    </xf>
    <xf numFmtId="0" fontId="8" fillId="0" borderId="34" xfId="1" applyFont="1" applyFill="1" applyBorder="1" applyAlignment="1">
      <alignment horizontal="left" vertical="center" wrapText="1"/>
    </xf>
    <xf numFmtId="0" fontId="8" fillId="0" borderId="35" xfId="1" applyFont="1" applyFill="1" applyBorder="1" applyAlignment="1">
      <alignment horizontal="left" vertical="center" wrapText="1"/>
    </xf>
    <xf numFmtId="0" fontId="8" fillId="0" borderId="36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37" xfId="1" applyFont="1" applyFill="1" applyBorder="1" applyAlignment="1">
      <alignment horizontal="left" vertical="center" wrapText="1"/>
    </xf>
    <xf numFmtId="0" fontId="3" fillId="0" borderId="22" xfId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right" vertical="center" wrapText="1"/>
    </xf>
    <xf numFmtId="2" fontId="17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2" fontId="17" fillId="0" borderId="12" xfId="0" applyNumberFormat="1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2" fontId="17" fillId="0" borderId="44" xfId="0" applyNumberFormat="1" applyFont="1" applyBorder="1" applyAlignment="1">
      <alignment horizontal="center" vertical="center"/>
    </xf>
    <xf numFmtId="0" fontId="3" fillId="0" borderId="40" xfId="1" applyFont="1" applyFill="1" applyBorder="1" applyAlignment="1">
      <alignment horizontal="left" vertical="center"/>
    </xf>
    <xf numFmtId="0" fontId="3" fillId="0" borderId="41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/>
    </xf>
    <xf numFmtId="0" fontId="3" fillId="0" borderId="18" xfId="1" applyFont="1" applyFill="1" applyBorder="1" applyAlignment="1">
      <alignment horizontal="left"/>
    </xf>
    <xf numFmtId="0" fontId="8" fillId="0" borderId="22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 wrapText="1"/>
    </xf>
  </cellXfs>
  <cellStyles count="5">
    <cellStyle name="Normal" xfId="0" builtinId="0"/>
    <cellStyle name="Normal_Book1" xfId="1"/>
    <cellStyle name="Parasts 2" xfId="2"/>
    <cellStyle name="Parasts 2 2" xfId="3"/>
    <cellStyle name="Valū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7"/>
  <sheetViews>
    <sheetView tabSelected="1" view="pageBreakPreview" topLeftCell="A19" zoomScale="60" zoomScaleNormal="100" workbookViewId="0">
      <selection activeCell="L17" sqref="L17"/>
    </sheetView>
  </sheetViews>
  <sheetFormatPr defaultColWidth="9.140625" defaultRowHeight="15" x14ac:dyDescent="0.2"/>
  <cols>
    <col min="1" max="1" width="13.42578125" style="1" customWidth="1"/>
    <col min="2" max="2" width="25.85546875" style="1" customWidth="1"/>
    <col min="3" max="3" width="11.7109375" style="1" customWidth="1"/>
    <col min="4" max="4" width="11.42578125" style="1" customWidth="1"/>
    <col min="5" max="5" width="11.140625" style="1" customWidth="1"/>
    <col min="6" max="6" width="11.5703125" style="1" customWidth="1"/>
    <col min="7" max="7" width="9" style="1" customWidth="1"/>
    <col min="8" max="8" width="9.5703125" style="1" customWidth="1"/>
    <col min="9" max="9" width="9.7109375" style="1" customWidth="1"/>
    <col min="10" max="10" width="11.42578125" style="1" customWidth="1"/>
    <col min="11" max="11" width="10.28515625" style="1" customWidth="1"/>
    <col min="12" max="12" width="9.28515625" style="1" customWidth="1"/>
    <col min="13" max="13" width="9.85546875" style="7" customWidth="1"/>
    <col min="14" max="16384" width="9.140625" style="1"/>
  </cols>
  <sheetData>
    <row r="1" spans="1:13" ht="15" customHeight="1" x14ac:dyDescent="0.2">
      <c r="J1" s="2" t="s">
        <v>0</v>
      </c>
      <c r="K1" s="2"/>
      <c r="M1" s="3"/>
    </row>
    <row r="2" spans="1:13" ht="33" customHeight="1" x14ac:dyDescent="0.2">
      <c r="J2" s="100" t="s">
        <v>1</v>
      </c>
      <c r="K2" s="100"/>
      <c r="L2" s="100"/>
      <c r="M2" s="3"/>
    </row>
    <row r="3" spans="1:13" ht="15" customHeight="1" x14ac:dyDescent="0.25">
      <c r="I3" s="2"/>
      <c r="J3" s="4"/>
      <c r="K3" s="5" t="s">
        <v>2</v>
      </c>
      <c r="M3" s="3"/>
    </row>
    <row r="4" spans="1:13" ht="15" customHeight="1" x14ac:dyDescent="0.25">
      <c r="I4" s="2"/>
      <c r="J4" s="6" t="s">
        <v>3</v>
      </c>
      <c r="K4" s="5"/>
      <c r="M4" s="3"/>
    </row>
    <row r="5" spans="1:13" ht="15.75" x14ac:dyDescent="0.2">
      <c r="A5" s="101" t="s">
        <v>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 ht="34.5" customHeight="1" x14ac:dyDescent="0.2">
      <c r="A6" s="102" t="s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3" ht="15.75" thickBot="1" x14ac:dyDescent="0.25">
      <c r="A7" s="103" t="s">
        <v>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3" s="12" customFormat="1" ht="51.75" thickBot="1" x14ac:dyDescent="0.25">
      <c r="A8" s="8" t="s">
        <v>7</v>
      </c>
      <c r="B8" s="9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1" t="s">
        <v>19</v>
      </c>
    </row>
    <row r="9" spans="1:13" ht="15" customHeight="1" x14ac:dyDescent="0.2">
      <c r="A9" s="104" t="s">
        <v>20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3"/>
    </row>
    <row r="10" spans="1:13" ht="51" x14ac:dyDescent="0.2">
      <c r="A10" s="14">
        <v>11191</v>
      </c>
      <c r="B10" s="15" t="s">
        <v>21</v>
      </c>
      <c r="C10" s="16">
        <f>(407+1110.2+1080+2352+740+1800)*12</f>
        <v>89870.399999999994</v>
      </c>
      <c r="D10" s="16">
        <f>(720+360+1080+1620+1540+1110)*12</f>
        <v>77160</v>
      </c>
      <c r="E10" s="16">
        <f>(1080+1080+3402+3240)*12</f>
        <v>105624</v>
      </c>
      <c r="F10" s="16">
        <f>(747.25+1080+3510)*12</f>
        <v>64047</v>
      </c>
      <c r="G10" s="16">
        <f>(477+1080+720+1080+2520+2160)*12</f>
        <v>96444</v>
      </c>
      <c r="H10" s="16">
        <f>(360+1080+1476)*12</f>
        <v>34992</v>
      </c>
      <c r="I10" s="16">
        <f>(726+180+1080+1080+390+770+399)*12</f>
        <v>55500</v>
      </c>
      <c r="J10" s="16">
        <f>(1260+1080+720+2880)*12</f>
        <v>71280</v>
      </c>
      <c r="K10" s="16">
        <f>(962.5+1080+1480+1800+1980)*12</f>
        <v>87630</v>
      </c>
      <c r="L10" s="17">
        <f>(360+1800)*12</f>
        <v>25920</v>
      </c>
      <c r="M10" s="18">
        <f>ROUND((900+2160)*12,0)</f>
        <v>36720</v>
      </c>
    </row>
    <row r="11" spans="1:13" ht="63.75" x14ac:dyDescent="0.2">
      <c r="A11" s="14">
        <v>1210</v>
      </c>
      <c r="B11" s="15" t="s">
        <v>22</v>
      </c>
      <c r="C11" s="16">
        <f>ROUND(C10*23.59%,0)</f>
        <v>21200</v>
      </c>
      <c r="D11" s="16">
        <f>ROUND(D10*23.59%,0)</f>
        <v>18202</v>
      </c>
      <c r="E11" s="16">
        <f>ROUND(E10*23.59%,0)</f>
        <v>24917</v>
      </c>
      <c r="F11" s="16">
        <f t="shared" ref="F11:L11" si="0">ROUND(F10*23.59%,0)</f>
        <v>15109</v>
      </c>
      <c r="G11" s="16">
        <f t="shared" si="0"/>
        <v>22751</v>
      </c>
      <c r="H11" s="16">
        <f t="shared" si="0"/>
        <v>8255</v>
      </c>
      <c r="I11" s="16">
        <f t="shared" si="0"/>
        <v>13092</v>
      </c>
      <c r="J11" s="16">
        <f t="shared" si="0"/>
        <v>16815</v>
      </c>
      <c r="K11" s="16">
        <f t="shared" si="0"/>
        <v>20672</v>
      </c>
      <c r="L11" s="17">
        <f t="shared" si="0"/>
        <v>6115</v>
      </c>
      <c r="M11" s="18">
        <f>ROUND(M10*23.59%,0)</f>
        <v>8662</v>
      </c>
    </row>
    <row r="12" spans="1:13" ht="15" customHeight="1" x14ac:dyDescent="0.2">
      <c r="A12" s="19">
        <v>2221</v>
      </c>
      <c r="B12" s="20" t="s">
        <v>23</v>
      </c>
      <c r="C12" s="21">
        <v>59510</v>
      </c>
      <c r="D12" s="21">
        <v>54240</v>
      </c>
      <c r="E12" s="21">
        <v>61770</v>
      </c>
      <c r="F12" s="21">
        <v>29500</v>
      </c>
      <c r="G12" s="21">
        <v>107720</v>
      </c>
      <c r="H12" s="21">
        <v>27920</v>
      </c>
      <c r="I12" s="21">
        <v>26390</v>
      </c>
      <c r="J12" s="21">
        <v>32400</v>
      </c>
      <c r="K12" s="21">
        <v>46710</v>
      </c>
      <c r="L12" s="22">
        <v>13570</v>
      </c>
      <c r="M12" s="18">
        <f>40200/8*12</f>
        <v>60300</v>
      </c>
    </row>
    <row r="13" spans="1:13" ht="25.5" x14ac:dyDescent="0.2">
      <c r="A13" s="19">
        <v>2222</v>
      </c>
      <c r="B13" s="20" t="s">
        <v>24</v>
      </c>
      <c r="C13" s="16">
        <v>3200</v>
      </c>
      <c r="D13" s="16">
        <v>3200</v>
      </c>
      <c r="E13" s="16">
        <v>7890</v>
      </c>
      <c r="F13" s="16">
        <v>2770</v>
      </c>
      <c r="G13" s="16">
        <v>14165</v>
      </c>
      <c r="H13" s="16">
        <v>1800</v>
      </c>
      <c r="I13" s="16">
        <v>3200</v>
      </c>
      <c r="J13" s="16">
        <v>3500</v>
      </c>
      <c r="K13" s="16">
        <v>4250</v>
      </c>
      <c r="L13" s="17">
        <v>1500</v>
      </c>
      <c r="M13" s="18">
        <f>4500/8*12</f>
        <v>6750</v>
      </c>
    </row>
    <row r="14" spans="1:13" ht="15" customHeight="1" x14ac:dyDescent="0.2">
      <c r="A14" s="19">
        <v>2223</v>
      </c>
      <c r="B14" s="20" t="s">
        <v>25</v>
      </c>
      <c r="C14" s="16">
        <v>15500</v>
      </c>
      <c r="D14" s="16">
        <v>20850</v>
      </c>
      <c r="E14" s="16">
        <v>31400</v>
      </c>
      <c r="F14" s="16">
        <v>12300</v>
      </c>
      <c r="G14" s="16">
        <v>39500</v>
      </c>
      <c r="H14" s="16">
        <v>11450</v>
      </c>
      <c r="I14" s="16">
        <v>17100</v>
      </c>
      <c r="J14" s="16">
        <v>16600</v>
      </c>
      <c r="K14" s="16">
        <v>22100</v>
      </c>
      <c r="L14" s="17">
        <v>7200</v>
      </c>
      <c r="M14" s="18">
        <f>10700/8*12</f>
        <v>16050</v>
      </c>
    </row>
    <row r="15" spans="1:13" ht="25.5" x14ac:dyDescent="0.2">
      <c r="A15" s="19">
        <v>2229</v>
      </c>
      <c r="B15" s="20" t="s">
        <v>26</v>
      </c>
      <c r="C15" s="16">
        <v>3820</v>
      </c>
      <c r="D15" s="16">
        <v>3820</v>
      </c>
      <c r="E15" s="16">
        <v>5600</v>
      </c>
      <c r="F15" s="16">
        <v>2550</v>
      </c>
      <c r="G15" s="16">
        <v>3270</v>
      </c>
      <c r="H15" s="16">
        <v>2550</v>
      </c>
      <c r="I15" s="16">
        <v>3820</v>
      </c>
      <c r="J15" s="16">
        <v>2550</v>
      </c>
      <c r="K15" s="16">
        <v>3820</v>
      </c>
      <c r="L15" s="17">
        <v>650</v>
      </c>
      <c r="M15" s="18">
        <f>2500/8*12</f>
        <v>3750</v>
      </c>
    </row>
    <row r="16" spans="1:13" ht="25.5" x14ac:dyDescent="0.2">
      <c r="A16" s="19">
        <v>2241</v>
      </c>
      <c r="B16" s="20" t="s">
        <v>27</v>
      </c>
      <c r="C16" s="21">
        <f>24500*2.5%</f>
        <v>612.5</v>
      </c>
      <c r="D16" s="21">
        <f>0*2.5%</f>
        <v>0</v>
      </c>
      <c r="E16" s="21">
        <f>32000*2.5%</f>
        <v>800</v>
      </c>
      <c r="F16" s="21">
        <f>50000*2.5%</f>
        <v>1250</v>
      </c>
      <c r="G16" s="21">
        <f>9000*2.5%</f>
        <v>225</v>
      </c>
      <c r="H16" s="21">
        <f>0*2.5%</f>
        <v>0</v>
      </c>
      <c r="I16" s="21">
        <f>20000*2.5%</f>
        <v>500</v>
      </c>
      <c r="J16" s="21">
        <f>30000*2.5%</f>
        <v>750</v>
      </c>
      <c r="K16" s="21">
        <f>15000*2.5%</f>
        <v>375</v>
      </c>
      <c r="L16" s="22">
        <f>0*2.5%</f>
        <v>0</v>
      </c>
      <c r="M16" s="18">
        <f>((14633/8*12)+11495)*2.5%</f>
        <v>836.11250000000007</v>
      </c>
    </row>
    <row r="17" spans="1:13" ht="27" customHeight="1" x14ac:dyDescent="0.2">
      <c r="A17" s="23">
        <v>2243</v>
      </c>
      <c r="B17" s="24" t="s">
        <v>28</v>
      </c>
      <c r="C17" s="16">
        <v>5000</v>
      </c>
      <c r="D17" s="16">
        <v>4500</v>
      </c>
      <c r="E17" s="16">
        <v>8500</v>
      </c>
      <c r="F17" s="16">
        <v>4930</v>
      </c>
      <c r="G17" s="16">
        <v>6700</v>
      </c>
      <c r="H17" s="16">
        <v>3500</v>
      </c>
      <c r="I17" s="16">
        <v>3500</v>
      </c>
      <c r="J17" s="16">
        <v>6000</v>
      </c>
      <c r="K17" s="16">
        <v>5000</v>
      </c>
      <c r="L17" s="17">
        <v>2455</v>
      </c>
      <c r="M17" s="18">
        <f>3500/8*12</f>
        <v>5250</v>
      </c>
    </row>
    <row r="18" spans="1:13" ht="15" customHeight="1" x14ac:dyDescent="0.2">
      <c r="A18" s="25">
        <v>2244</v>
      </c>
      <c r="B18" s="26" t="s">
        <v>29</v>
      </c>
      <c r="C18" s="21">
        <v>2370</v>
      </c>
      <c r="D18" s="21">
        <v>2270</v>
      </c>
      <c r="E18" s="21">
        <v>5927</v>
      </c>
      <c r="F18" s="21">
        <v>1490</v>
      </c>
      <c r="G18" s="21">
        <v>6460</v>
      </c>
      <c r="H18" s="21">
        <v>980</v>
      </c>
      <c r="I18" s="21">
        <v>1420</v>
      </c>
      <c r="J18" s="21">
        <v>2851</v>
      </c>
      <c r="K18" s="21">
        <v>3784</v>
      </c>
      <c r="L18" s="22">
        <v>1820</v>
      </c>
      <c r="M18" s="18">
        <f>1170/8*12</f>
        <v>1755</v>
      </c>
    </row>
    <row r="19" spans="1:13" ht="15" customHeight="1" x14ac:dyDescent="0.2">
      <c r="A19" s="27">
        <v>2247</v>
      </c>
      <c r="B19" s="28" t="s">
        <v>30</v>
      </c>
      <c r="C19" s="29">
        <v>530</v>
      </c>
      <c r="D19" s="29">
        <v>670</v>
      </c>
      <c r="E19" s="29">
        <v>670</v>
      </c>
      <c r="F19" s="29">
        <v>315</v>
      </c>
      <c r="G19" s="29">
        <v>680</v>
      </c>
      <c r="H19" s="29">
        <v>125</v>
      </c>
      <c r="I19" s="29">
        <v>315</v>
      </c>
      <c r="J19" s="29">
        <v>325</v>
      </c>
      <c r="K19" s="29">
        <v>535</v>
      </c>
      <c r="L19" s="30">
        <v>100</v>
      </c>
      <c r="M19" s="18">
        <v>335</v>
      </c>
    </row>
    <row r="20" spans="1:13" ht="15" customHeight="1" x14ac:dyDescent="0.2">
      <c r="A20" s="27">
        <v>2263</v>
      </c>
      <c r="B20" s="28" t="s">
        <v>31</v>
      </c>
      <c r="C20" s="31">
        <v>0</v>
      </c>
      <c r="D20" s="31">
        <v>0</v>
      </c>
      <c r="E20" s="31">
        <v>0</v>
      </c>
      <c r="F20" s="31">
        <v>12428</v>
      </c>
      <c r="G20" s="31">
        <v>7132</v>
      </c>
      <c r="H20" s="31">
        <v>0</v>
      </c>
      <c r="I20" s="31">
        <v>0</v>
      </c>
      <c r="J20" s="31">
        <v>1166</v>
      </c>
      <c r="K20" s="31">
        <v>4090</v>
      </c>
      <c r="L20" s="32">
        <v>0</v>
      </c>
      <c r="M20" s="18">
        <v>0</v>
      </c>
    </row>
    <row r="21" spans="1:13" ht="26.25" customHeight="1" x14ac:dyDescent="0.2">
      <c r="A21" s="19">
        <v>2350</v>
      </c>
      <c r="B21" s="20" t="s">
        <v>32</v>
      </c>
      <c r="C21" s="21">
        <v>11200</v>
      </c>
      <c r="D21" s="21">
        <v>12500</v>
      </c>
      <c r="E21" s="21">
        <v>17000</v>
      </c>
      <c r="F21" s="21">
        <v>7900</v>
      </c>
      <c r="G21" s="21">
        <v>17700</v>
      </c>
      <c r="H21" s="21">
        <v>4200</v>
      </c>
      <c r="I21" s="21">
        <v>9000</v>
      </c>
      <c r="J21" s="21">
        <v>2800</v>
      </c>
      <c r="K21" s="21">
        <v>9300</v>
      </c>
      <c r="L21" s="22">
        <v>3400</v>
      </c>
      <c r="M21" s="18">
        <f>15000/8*12</f>
        <v>22500</v>
      </c>
    </row>
    <row r="22" spans="1:13" ht="27" customHeight="1" thickBot="1" x14ac:dyDescent="0.25">
      <c r="A22" s="33">
        <v>5250</v>
      </c>
      <c r="B22" s="34" t="s">
        <v>33</v>
      </c>
      <c r="C22" s="35">
        <f>0*2.5%</f>
        <v>0</v>
      </c>
      <c r="D22" s="35">
        <f t="shared" ref="D22:L22" si="1">0*2.5%</f>
        <v>0</v>
      </c>
      <c r="E22" s="35">
        <f t="shared" si="1"/>
        <v>0</v>
      </c>
      <c r="F22" s="35">
        <f t="shared" si="1"/>
        <v>0</v>
      </c>
      <c r="G22" s="35">
        <f>0*2.5%</f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6">
        <f t="shared" si="1"/>
        <v>0</v>
      </c>
      <c r="M22" s="37">
        <f>0*2.5%</f>
        <v>0</v>
      </c>
    </row>
    <row r="23" spans="1:13" s="41" customFormat="1" ht="15.75" customHeight="1" thickBot="1" x14ac:dyDescent="0.25">
      <c r="A23" s="106" t="s">
        <v>34</v>
      </c>
      <c r="B23" s="107"/>
      <c r="C23" s="38">
        <f>SUM(C10:C22)</f>
        <v>212812.9</v>
      </c>
      <c r="D23" s="38">
        <f t="shared" ref="D23:M23" si="2">SUM(D10:D22)</f>
        <v>197412</v>
      </c>
      <c r="E23" s="38">
        <f>SUM(E10:E22)</f>
        <v>270098</v>
      </c>
      <c r="F23" s="38">
        <f>SUM(F10:F22)</f>
        <v>154589</v>
      </c>
      <c r="G23" s="38">
        <f t="shared" si="2"/>
        <v>322747</v>
      </c>
      <c r="H23" s="38">
        <f t="shared" si="2"/>
        <v>95772</v>
      </c>
      <c r="I23" s="38">
        <f t="shared" si="2"/>
        <v>133837</v>
      </c>
      <c r="J23" s="38">
        <f t="shared" si="2"/>
        <v>157037</v>
      </c>
      <c r="K23" s="38">
        <f t="shared" si="2"/>
        <v>208266</v>
      </c>
      <c r="L23" s="39">
        <f t="shared" si="2"/>
        <v>62730</v>
      </c>
      <c r="M23" s="40">
        <f t="shared" si="2"/>
        <v>162908.11249999999</v>
      </c>
    </row>
    <row r="24" spans="1:13" ht="15.75" customHeight="1" x14ac:dyDescent="0.2">
      <c r="A24" s="108" t="s">
        <v>35</v>
      </c>
      <c r="B24" s="109"/>
      <c r="C24" s="42">
        <v>9875</v>
      </c>
      <c r="D24" s="42">
        <v>8250</v>
      </c>
      <c r="E24" s="42">
        <v>10081</v>
      </c>
      <c r="F24" s="42">
        <v>5728</v>
      </c>
      <c r="G24" s="42">
        <v>11726</v>
      </c>
      <c r="H24" s="42">
        <v>2219</v>
      </c>
      <c r="I24" s="42">
        <v>5066</v>
      </c>
      <c r="J24" s="42">
        <v>4953</v>
      </c>
      <c r="K24" s="42">
        <v>9782</v>
      </c>
      <c r="L24" s="43">
        <v>1818</v>
      </c>
      <c r="M24" s="44">
        <v>3476</v>
      </c>
    </row>
    <row r="25" spans="1:13" s="48" customFormat="1" ht="17.25" customHeight="1" thickBot="1" x14ac:dyDescent="0.25">
      <c r="A25" s="110" t="s">
        <v>36</v>
      </c>
      <c r="B25" s="111"/>
      <c r="C25" s="45">
        <f>ROUND(C23/C24,2)</f>
        <v>21.55</v>
      </c>
      <c r="D25" s="45">
        <f t="shared" ref="D25:L25" si="3">ROUND(D23/D24,2)</f>
        <v>23.93</v>
      </c>
      <c r="E25" s="45">
        <f>ROUND(E23/E24,2)</f>
        <v>26.79</v>
      </c>
      <c r="F25" s="45">
        <f t="shared" si="3"/>
        <v>26.99</v>
      </c>
      <c r="G25" s="45">
        <f t="shared" si="3"/>
        <v>27.52</v>
      </c>
      <c r="H25" s="45">
        <f t="shared" si="3"/>
        <v>43.16</v>
      </c>
      <c r="I25" s="45">
        <f t="shared" si="3"/>
        <v>26.42</v>
      </c>
      <c r="J25" s="45">
        <f t="shared" si="3"/>
        <v>31.71</v>
      </c>
      <c r="K25" s="45">
        <f t="shared" si="3"/>
        <v>21.29</v>
      </c>
      <c r="L25" s="46">
        <f t="shared" si="3"/>
        <v>34.5</v>
      </c>
      <c r="M25" s="47">
        <f>ROUND(M23/M24,2)</f>
        <v>46.87</v>
      </c>
    </row>
    <row r="26" spans="1:13" s="41" customFormat="1" ht="15" customHeight="1" x14ac:dyDescent="0.2">
      <c r="A26" s="112" t="s">
        <v>37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</row>
    <row r="27" spans="1:13" s="41" customFormat="1" ht="15" customHeight="1" x14ac:dyDescent="0.2">
      <c r="A27" s="115" t="s">
        <v>38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7"/>
    </row>
    <row r="28" spans="1:13" s="41" customFormat="1" ht="38.25" x14ac:dyDescent="0.2">
      <c r="A28" s="14">
        <v>11191</v>
      </c>
      <c r="B28" s="15" t="s">
        <v>39</v>
      </c>
      <c r="C28" s="16">
        <f>(847+541)*12</f>
        <v>16656</v>
      </c>
      <c r="D28" s="16">
        <f>(743+530)*12</f>
        <v>15276</v>
      </c>
      <c r="E28" s="16">
        <f>(854+513)*12</f>
        <v>16404</v>
      </c>
      <c r="F28" s="16">
        <f>(646+598)*12</f>
        <v>14928</v>
      </c>
      <c r="G28" s="16">
        <f>(598+513)*12</f>
        <v>13332</v>
      </c>
      <c r="H28" s="16">
        <f>(513+491)*12</f>
        <v>12048</v>
      </c>
      <c r="I28" s="16">
        <f>(642+442)*12</f>
        <v>13008</v>
      </c>
      <c r="J28" s="16">
        <f>(666+618)*12</f>
        <v>15408</v>
      </c>
      <c r="K28" s="16">
        <f>(691+491)*12</f>
        <v>14184</v>
      </c>
      <c r="L28" s="17">
        <f>(479+390)*12</f>
        <v>10428</v>
      </c>
      <c r="M28" s="18">
        <f>ROUND((539+450)*12,0)</f>
        <v>11868</v>
      </c>
    </row>
    <row r="29" spans="1:13" s="41" customFormat="1" ht="51" x14ac:dyDescent="0.2">
      <c r="A29" s="14">
        <v>1210</v>
      </c>
      <c r="B29" s="15" t="s">
        <v>40</v>
      </c>
      <c r="C29" s="16">
        <f>ROUND(C28*23.59%,0)</f>
        <v>3929</v>
      </c>
      <c r="D29" s="16">
        <f t="shared" ref="D29:M29" si="4">ROUND(D28*23.59%,0)</f>
        <v>3604</v>
      </c>
      <c r="E29" s="16">
        <f t="shared" si="4"/>
        <v>3870</v>
      </c>
      <c r="F29" s="16">
        <f t="shared" si="4"/>
        <v>3522</v>
      </c>
      <c r="G29" s="16">
        <f t="shared" si="4"/>
        <v>3145</v>
      </c>
      <c r="H29" s="16">
        <f t="shared" si="4"/>
        <v>2842</v>
      </c>
      <c r="I29" s="16">
        <f t="shared" si="4"/>
        <v>3069</v>
      </c>
      <c r="J29" s="16">
        <f t="shared" si="4"/>
        <v>3635</v>
      </c>
      <c r="K29" s="16">
        <f t="shared" si="4"/>
        <v>3346</v>
      </c>
      <c r="L29" s="17">
        <f t="shared" si="4"/>
        <v>2460</v>
      </c>
      <c r="M29" s="18">
        <f t="shared" si="4"/>
        <v>2800</v>
      </c>
    </row>
    <row r="30" spans="1:13" s="41" customFormat="1" x14ac:dyDescent="0.2">
      <c r="A30" s="14">
        <v>2219</v>
      </c>
      <c r="B30" s="15" t="s">
        <v>41</v>
      </c>
      <c r="C30" s="16">
        <v>5150</v>
      </c>
      <c r="D30" s="16">
        <v>2860</v>
      </c>
      <c r="E30" s="16">
        <v>4080</v>
      </c>
      <c r="F30" s="16">
        <v>2580</v>
      </c>
      <c r="G30" s="16">
        <v>4290</v>
      </c>
      <c r="H30" s="16">
        <v>2440</v>
      </c>
      <c r="I30" s="16">
        <v>4340</v>
      </c>
      <c r="J30" s="16">
        <v>3140</v>
      </c>
      <c r="K30" s="16">
        <v>3390</v>
      </c>
      <c r="L30" s="17">
        <v>2650</v>
      </c>
      <c r="M30" s="18">
        <f>2100/8*12</f>
        <v>3150</v>
      </c>
    </row>
    <row r="31" spans="1:13" s="41" customFormat="1" ht="25.5" x14ac:dyDescent="0.2">
      <c r="A31" s="14">
        <v>2239</v>
      </c>
      <c r="B31" s="15" t="s">
        <v>42</v>
      </c>
      <c r="C31" s="16">
        <v>7100</v>
      </c>
      <c r="D31" s="16">
        <v>4295</v>
      </c>
      <c r="E31" s="16">
        <v>6000</v>
      </c>
      <c r="F31" s="16">
        <v>1500</v>
      </c>
      <c r="G31" s="16">
        <v>2750</v>
      </c>
      <c r="H31" s="16">
        <v>800</v>
      </c>
      <c r="I31" s="16">
        <v>4000</v>
      </c>
      <c r="J31" s="16">
        <v>2700</v>
      </c>
      <c r="K31" s="16">
        <v>2100</v>
      </c>
      <c r="L31" s="17">
        <v>1300</v>
      </c>
      <c r="M31" s="18">
        <f>2800/8*12</f>
        <v>4200</v>
      </c>
    </row>
    <row r="32" spans="1:13" s="41" customFormat="1" ht="25.5" x14ac:dyDescent="0.2">
      <c r="A32" s="14">
        <v>2247</v>
      </c>
      <c r="B32" s="15" t="s">
        <v>43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450</v>
      </c>
      <c r="I32" s="16">
        <v>0</v>
      </c>
      <c r="J32" s="16">
        <v>0</v>
      </c>
      <c r="K32" s="16">
        <v>0</v>
      </c>
      <c r="L32" s="17">
        <v>0</v>
      </c>
      <c r="M32" s="18">
        <f>1107</f>
        <v>1107</v>
      </c>
    </row>
    <row r="33" spans="1:13" s="41" customFormat="1" ht="25.5" x14ac:dyDescent="0.2">
      <c r="A33" s="14">
        <v>2249</v>
      </c>
      <c r="B33" s="15" t="s">
        <v>44</v>
      </c>
      <c r="C33" s="16">
        <v>5000</v>
      </c>
      <c r="D33" s="16">
        <v>12500</v>
      </c>
      <c r="E33" s="16">
        <v>23300</v>
      </c>
      <c r="F33" s="16">
        <v>9630</v>
      </c>
      <c r="G33" s="16">
        <v>17285</v>
      </c>
      <c r="H33" s="16">
        <v>8500</v>
      </c>
      <c r="I33" s="16">
        <v>9500</v>
      </c>
      <c r="J33" s="16">
        <v>23100</v>
      </c>
      <c r="K33" s="16">
        <v>15460</v>
      </c>
      <c r="L33" s="17">
        <v>10000</v>
      </c>
      <c r="M33" s="18">
        <f>36080/8*12</f>
        <v>54120</v>
      </c>
    </row>
    <row r="34" spans="1:13" s="41" customFormat="1" x14ac:dyDescent="0.2">
      <c r="A34" s="14">
        <v>2261</v>
      </c>
      <c r="B34" s="15" t="s">
        <v>45</v>
      </c>
      <c r="C34" s="16">
        <v>0</v>
      </c>
      <c r="D34" s="16">
        <v>0</v>
      </c>
      <c r="E34" s="16">
        <v>20000</v>
      </c>
      <c r="F34" s="16">
        <v>0</v>
      </c>
      <c r="G34" s="16">
        <v>0</v>
      </c>
      <c r="H34" s="16">
        <v>1800</v>
      </c>
      <c r="I34" s="16">
        <v>0</v>
      </c>
      <c r="J34" s="16">
        <v>0</v>
      </c>
      <c r="K34" s="16">
        <v>200</v>
      </c>
      <c r="L34" s="17">
        <v>0</v>
      </c>
      <c r="M34" s="18">
        <f>7500/8*12</f>
        <v>11250</v>
      </c>
    </row>
    <row r="35" spans="1:13" s="41" customFormat="1" x14ac:dyDescent="0.2">
      <c r="A35" s="14">
        <v>2311</v>
      </c>
      <c r="B35" s="15" t="s">
        <v>46</v>
      </c>
      <c r="C35" s="16">
        <v>2200</v>
      </c>
      <c r="D35" s="16">
        <v>5400</v>
      </c>
      <c r="E35" s="16">
        <v>7000</v>
      </c>
      <c r="F35" s="16">
        <v>5400</v>
      </c>
      <c r="G35" s="16">
        <v>5100</v>
      </c>
      <c r="H35" s="16">
        <v>3800</v>
      </c>
      <c r="I35" s="16">
        <v>5400</v>
      </c>
      <c r="J35" s="16">
        <v>5500</v>
      </c>
      <c r="K35" s="16">
        <v>5700</v>
      </c>
      <c r="L35" s="17">
        <v>2700</v>
      </c>
      <c r="M35" s="18">
        <f>12000/8*12</f>
        <v>18000</v>
      </c>
    </row>
    <row r="36" spans="1:13" s="41" customFormat="1" ht="15" customHeight="1" x14ac:dyDescent="0.2">
      <c r="A36" s="14">
        <v>2312</v>
      </c>
      <c r="B36" s="15" t="s">
        <v>47</v>
      </c>
      <c r="C36" s="29">
        <v>15700</v>
      </c>
      <c r="D36" s="29">
        <v>14630</v>
      </c>
      <c r="E36" s="29">
        <v>31150</v>
      </c>
      <c r="F36" s="29">
        <v>13780</v>
      </c>
      <c r="G36" s="29">
        <v>9900</v>
      </c>
      <c r="H36" s="29">
        <v>9000</v>
      </c>
      <c r="I36" s="29">
        <v>10000</v>
      </c>
      <c r="J36" s="29">
        <v>8300</v>
      </c>
      <c r="K36" s="29">
        <v>14950</v>
      </c>
      <c r="L36" s="30">
        <v>4500</v>
      </c>
      <c r="M36" s="18">
        <f>(15000/8*12)+5000</f>
        <v>27500</v>
      </c>
    </row>
    <row r="37" spans="1:13" s="41" customFormat="1" ht="15" customHeight="1" x14ac:dyDescent="0.2">
      <c r="A37" s="14">
        <v>5232</v>
      </c>
      <c r="B37" s="15" t="s">
        <v>48</v>
      </c>
      <c r="C37" s="16">
        <v>12300</v>
      </c>
      <c r="D37" s="16">
        <v>2000</v>
      </c>
      <c r="E37" s="16">
        <v>7600</v>
      </c>
      <c r="F37" s="16">
        <v>1500</v>
      </c>
      <c r="G37" s="16">
        <v>17270</v>
      </c>
      <c r="H37" s="16">
        <v>2000</v>
      </c>
      <c r="I37" s="16">
        <v>11500</v>
      </c>
      <c r="J37" s="16">
        <v>3500</v>
      </c>
      <c r="K37" s="16">
        <v>1000</v>
      </c>
      <c r="L37" s="17">
        <v>4000</v>
      </c>
      <c r="M37" s="18">
        <f>5000/8*12</f>
        <v>7500</v>
      </c>
    </row>
    <row r="38" spans="1:13" s="41" customFormat="1" ht="29.25" customHeight="1" thickBot="1" x14ac:dyDescent="0.25">
      <c r="A38" s="49">
        <v>5238</v>
      </c>
      <c r="B38" s="50" t="s">
        <v>49</v>
      </c>
      <c r="C38" s="29">
        <v>16000</v>
      </c>
      <c r="D38" s="29">
        <v>18000</v>
      </c>
      <c r="E38" s="29">
        <v>13000</v>
      </c>
      <c r="F38" s="29">
        <v>15000</v>
      </c>
      <c r="G38" s="29">
        <v>7700</v>
      </c>
      <c r="H38" s="29">
        <v>20210</v>
      </c>
      <c r="I38" s="29">
        <v>10500</v>
      </c>
      <c r="J38" s="29">
        <v>9000</v>
      </c>
      <c r="K38" s="29">
        <v>12000</v>
      </c>
      <c r="L38" s="30">
        <v>4000</v>
      </c>
      <c r="M38" s="51">
        <f>4000/8*12</f>
        <v>6000</v>
      </c>
    </row>
    <row r="39" spans="1:13" s="41" customFormat="1" ht="15" customHeight="1" thickBot="1" x14ac:dyDescent="0.25">
      <c r="A39" s="118" t="s">
        <v>50</v>
      </c>
      <c r="B39" s="119"/>
      <c r="C39" s="38">
        <f>SUM(C28:C38)</f>
        <v>84035</v>
      </c>
      <c r="D39" s="38">
        <f>SUM(D28:D38)</f>
        <v>78565</v>
      </c>
      <c r="E39" s="38">
        <f>SUM(E28:E38)</f>
        <v>132404</v>
      </c>
      <c r="F39" s="38">
        <f t="shared" ref="F39:M39" si="5">SUM(F28:F38)</f>
        <v>67840</v>
      </c>
      <c r="G39" s="38">
        <f t="shared" si="5"/>
        <v>80772</v>
      </c>
      <c r="H39" s="38">
        <f>SUM(H28:H38)</f>
        <v>63890</v>
      </c>
      <c r="I39" s="38">
        <f t="shared" si="5"/>
        <v>71317</v>
      </c>
      <c r="J39" s="38">
        <f t="shared" si="5"/>
        <v>74283</v>
      </c>
      <c r="K39" s="38">
        <f t="shared" si="5"/>
        <v>72330</v>
      </c>
      <c r="L39" s="39">
        <f t="shared" si="5"/>
        <v>42038</v>
      </c>
      <c r="M39" s="40">
        <f t="shared" si="5"/>
        <v>147495</v>
      </c>
    </row>
    <row r="40" spans="1:13" s="41" customFormat="1" ht="15.75" customHeight="1" x14ac:dyDescent="0.2">
      <c r="A40" s="98" t="s">
        <v>51</v>
      </c>
      <c r="B40" s="99"/>
      <c r="C40" s="52">
        <f>ROUND((C10+C11+C28+C29)/234903,3)</f>
        <v>0.56000000000000005</v>
      </c>
      <c r="D40" s="52">
        <f>ROUND((D10+D11+D28+D29)/213656,3)</f>
        <v>0.53500000000000003</v>
      </c>
      <c r="E40" s="52">
        <f>ROUND((E10+E11+E28+E29)/280494,3)</f>
        <v>0.53800000000000003</v>
      </c>
      <c r="F40" s="52">
        <f>ROUND((F10+F11+F28+F29)/170124,3)</f>
        <v>0.57399999999999995</v>
      </c>
      <c r="G40" s="52">
        <f>ROUND((G10+G11+G28+G29)/305785,3)</f>
        <v>0.44400000000000001</v>
      </c>
      <c r="H40" s="52">
        <f>ROUND((H10+H11+H28+H29)/133312,3)</f>
        <v>0.436</v>
      </c>
      <c r="I40" s="52">
        <f>ROUND((I10+I11+I28+I29)/166688,3)</f>
        <v>0.50800000000000001</v>
      </c>
      <c r="J40" s="52">
        <f>ROUND((J10+J11+J28+J29)/191393,3)</f>
        <v>0.56000000000000005</v>
      </c>
      <c r="K40" s="52">
        <f>ROUND((K10+K11+K28+K29)/208398,3)</f>
        <v>0.60399999999999998</v>
      </c>
      <c r="L40" s="53">
        <f>ROUND((L10+L11+L28+L29)/93367,3)</f>
        <v>0.48099999999999998</v>
      </c>
      <c r="M40" s="54">
        <f>ROUND((M9+M10+M28+M29)/(404467+29103),3)</f>
        <v>0.11899999999999999</v>
      </c>
    </row>
    <row r="41" spans="1:13" s="41" customFormat="1" ht="15.75" customHeight="1" x14ac:dyDescent="0.2">
      <c r="A41" s="125" t="s">
        <v>35</v>
      </c>
      <c r="B41" s="126"/>
      <c r="C41" s="42">
        <v>9875</v>
      </c>
      <c r="D41" s="42">
        <v>8250</v>
      </c>
      <c r="E41" s="42">
        <v>10081</v>
      </c>
      <c r="F41" s="42">
        <v>5728</v>
      </c>
      <c r="G41" s="42">
        <v>11726</v>
      </c>
      <c r="H41" s="42">
        <v>2219</v>
      </c>
      <c r="I41" s="42">
        <v>5066</v>
      </c>
      <c r="J41" s="42">
        <v>4953</v>
      </c>
      <c r="K41" s="42">
        <v>9782</v>
      </c>
      <c r="L41" s="43">
        <v>1818</v>
      </c>
      <c r="M41" s="18">
        <v>3476</v>
      </c>
    </row>
    <row r="42" spans="1:13" s="48" customFormat="1" ht="15.75" customHeight="1" x14ac:dyDescent="0.2">
      <c r="A42" s="127" t="s">
        <v>52</v>
      </c>
      <c r="B42" s="128"/>
      <c r="C42" s="55">
        <f>ROUND(C39*C40/C41,2)</f>
        <v>4.7699999999999996</v>
      </c>
      <c r="D42" s="55">
        <f>ROUND(D39*D40/D41,2)</f>
        <v>5.09</v>
      </c>
      <c r="E42" s="55">
        <f>ROUND(E39*E40/E41,2)</f>
        <v>7.07</v>
      </c>
      <c r="F42" s="55">
        <f>ROUND(F39*F40/F41,2)</f>
        <v>6.8</v>
      </c>
      <c r="G42" s="55">
        <f t="shared" ref="G42:M42" si="6">ROUND(G39*G40/G41,2)</f>
        <v>3.06</v>
      </c>
      <c r="H42" s="55">
        <f t="shared" si="6"/>
        <v>12.55</v>
      </c>
      <c r="I42" s="55">
        <f t="shared" si="6"/>
        <v>7.15</v>
      </c>
      <c r="J42" s="55">
        <f t="shared" si="6"/>
        <v>8.4</v>
      </c>
      <c r="K42" s="55">
        <f t="shared" si="6"/>
        <v>4.47</v>
      </c>
      <c r="L42" s="56">
        <f t="shared" si="6"/>
        <v>11.12</v>
      </c>
      <c r="M42" s="57">
        <f t="shared" si="6"/>
        <v>5.05</v>
      </c>
    </row>
    <row r="43" spans="1:13" ht="15.75" customHeight="1" thickBot="1" x14ac:dyDescent="0.25">
      <c r="A43" s="129" t="s">
        <v>53</v>
      </c>
      <c r="B43" s="130"/>
      <c r="C43" s="58">
        <f t="shared" ref="C43:M43" si="7">C25+C42</f>
        <v>26.32</v>
      </c>
      <c r="D43" s="58">
        <f t="shared" si="7"/>
        <v>29.02</v>
      </c>
      <c r="E43" s="58">
        <f t="shared" si="7"/>
        <v>33.86</v>
      </c>
      <c r="F43" s="58">
        <f t="shared" si="7"/>
        <v>33.79</v>
      </c>
      <c r="G43" s="58">
        <f t="shared" si="7"/>
        <v>30.58</v>
      </c>
      <c r="H43" s="58">
        <f t="shared" si="7"/>
        <v>55.709999999999994</v>
      </c>
      <c r="I43" s="58">
        <f t="shared" si="7"/>
        <v>33.57</v>
      </c>
      <c r="J43" s="58">
        <f t="shared" si="7"/>
        <v>40.11</v>
      </c>
      <c r="K43" s="58">
        <f t="shared" si="7"/>
        <v>25.759999999999998</v>
      </c>
      <c r="L43" s="59">
        <f t="shared" si="7"/>
        <v>45.62</v>
      </c>
      <c r="M43" s="60">
        <f t="shared" si="7"/>
        <v>51.919999999999995</v>
      </c>
    </row>
    <row r="44" spans="1:13" s="64" customFormat="1" ht="17.25" customHeight="1" thickBot="1" x14ac:dyDescent="0.3">
      <c r="A44" s="131" t="s">
        <v>54</v>
      </c>
      <c r="B44" s="132"/>
      <c r="C44" s="61">
        <f>ROUND(C43/12,2)</f>
        <v>2.19</v>
      </c>
      <c r="D44" s="61">
        <f t="shared" ref="D44:M44" si="8">ROUND(D43/12,2)</f>
        <v>2.42</v>
      </c>
      <c r="E44" s="61">
        <f t="shared" si="8"/>
        <v>2.82</v>
      </c>
      <c r="F44" s="61">
        <f t="shared" si="8"/>
        <v>2.82</v>
      </c>
      <c r="G44" s="61">
        <f t="shared" si="8"/>
        <v>2.5499999999999998</v>
      </c>
      <c r="H44" s="61">
        <f>ROUND(H43/12,2)</f>
        <v>4.6399999999999997</v>
      </c>
      <c r="I44" s="61">
        <f t="shared" si="8"/>
        <v>2.8</v>
      </c>
      <c r="J44" s="61">
        <f t="shared" si="8"/>
        <v>3.34</v>
      </c>
      <c r="K44" s="61">
        <f t="shared" si="8"/>
        <v>2.15</v>
      </c>
      <c r="L44" s="62">
        <f t="shared" si="8"/>
        <v>3.8</v>
      </c>
      <c r="M44" s="63">
        <f t="shared" si="8"/>
        <v>4.33</v>
      </c>
    </row>
    <row r="45" spans="1:13" s="64" customFormat="1" ht="12.75" customHeight="1" x14ac:dyDescent="0.25">
      <c r="A45" s="65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</row>
    <row r="46" spans="1:13" s="64" customFormat="1" x14ac:dyDescent="0.2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67"/>
    </row>
    <row r="47" spans="1:13" s="70" customFormat="1" ht="18" x14ac:dyDescent="0.25">
      <c r="A47" s="121" t="s">
        <v>55</v>
      </c>
      <c r="B47" s="121"/>
      <c r="C47" s="121"/>
      <c r="D47" s="121"/>
      <c r="E47" s="121"/>
      <c r="F47"/>
      <c r="G47" s="68"/>
      <c r="H47" s="68"/>
      <c r="I47" s="68"/>
      <c r="J47" s="68"/>
      <c r="K47" s="68"/>
      <c r="L47" s="68"/>
      <c r="M47" s="69"/>
    </row>
    <row r="48" spans="1:13" s="70" customFormat="1" ht="15.75" customHeight="1" x14ac:dyDescent="0.25">
      <c r="A48" s="71"/>
      <c r="B48" s="71"/>
      <c r="C48" s="71"/>
      <c r="D48" s="71"/>
      <c r="E48" s="71"/>
      <c r="F48"/>
      <c r="G48" s="72"/>
      <c r="H48" s="72"/>
      <c r="I48" s="72"/>
      <c r="J48" s="72"/>
      <c r="K48" s="72"/>
      <c r="L48" s="72"/>
      <c r="M48" s="73"/>
    </row>
    <row r="49" spans="1:17" s="70" customFormat="1" ht="45" customHeight="1" x14ac:dyDescent="0.25">
      <c r="A49" s="74" t="s">
        <v>56</v>
      </c>
      <c r="B49" s="75" t="s">
        <v>12</v>
      </c>
      <c r="C49" s="75" t="s">
        <v>16</v>
      </c>
      <c r="D49" s="76" t="s">
        <v>19</v>
      </c>
      <c r="E49" s="71"/>
      <c r="F49" s="77"/>
      <c r="G49" s="78"/>
      <c r="H49" s="78"/>
      <c r="I49" s="78"/>
      <c r="J49" s="78"/>
      <c r="K49" s="78"/>
      <c r="L49" s="78"/>
      <c r="M49" s="78"/>
    </row>
    <row r="50" spans="1:17" s="70" customFormat="1" ht="16.5" x14ac:dyDescent="0.25">
      <c r="A50" s="79" t="s">
        <v>57</v>
      </c>
      <c r="B50" s="80">
        <v>290</v>
      </c>
      <c r="C50" s="80">
        <v>350</v>
      </c>
      <c r="D50" s="81">
        <v>200</v>
      </c>
      <c r="E50" s="71"/>
      <c r="F50"/>
      <c r="G50" s="82"/>
      <c r="H50" s="82"/>
      <c r="I50" s="82"/>
      <c r="J50" s="82"/>
      <c r="K50" s="82"/>
      <c r="L50" s="82"/>
      <c r="M50" s="73"/>
    </row>
    <row r="51" spans="1:17" s="70" customFormat="1" ht="42.75" x14ac:dyDescent="0.25">
      <c r="A51" s="74" t="s">
        <v>58</v>
      </c>
      <c r="B51" s="80">
        <v>80</v>
      </c>
      <c r="C51" s="80">
        <v>80</v>
      </c>
      <c r="D51" s="83">
        <v>80</v>
      </c>
      <c r="E51" s="71"/>
      <c r="F51"/>
      <c r="G51" s="84"/>
      <c r="H51" s="84"/>
      <c r="I51" s="84"/>
      <c r="J51" s="84"/>
      <c r="K51" s="84"/>
      <c r="L51" s="84"/>
      <c r="M51" s="73"/>
    </row>
    <row r="52" spans="1:17" s="70" customFormat="1" ht="63" customHeight="1" x14ac:dyDescent="0.25">
      <c r="A52" s="74" t="s">
        <v>59</v>
      </c>
      <c r="B52" s="80">
        <v>2.82</v>
      </c>
      <c r="C52" s="80">
        <v>3.34</v>
      </c>
      <c r="D52" s="83">
        <v>4.33</v>
      </c>
      <c r="E52" s="71"/>
      <c r="F52"/>
      <c r="G52" s="85"/>
      <c r="H52" s="85"/>
      <c r="I52" s="85"/>
      <c r="J52" s="85"/>
      <c r="K52" s="85"/>
      <c r="L52" s="85"/>
      <c r="M52" s="73"/>
    </row>
    <row r="53" spans="1:17" s="70" customFormat="1" ht="15.75" x14ac:dyDescent="0.25">
      <c r="A53" s="86" t="s">
        <v>60</v>
      </c>
      <c r="B53" s="80">
        <f>ROUND(B52*B50/B51,2)</f>
        <v>10.220000000000001</v>
      </c>
      <c r="C53" s="80">
        <f>ROUND(C52*C50/C51,2)</f>
        <v>14.61</v>
      </c>
      <c r="D53" s="80">
        <f>ROUND(D52*D50/D51,2)</f>
        <v>10.83</v>
      </c>
      <c r="E53" s="71"/>
      <c r="F53"/>
      <c r="G53" s="68"/>
      <c r="H53" s="68"/>
      <c r="I53" s="68"/>
      <c r="J53" s="68"/>
      <c r="K53" s="68"/>
      <c r="L53" s="68"/>
      <c r="M53" s="73"/>
    </row>
    <row r="54" spans="1:17" s="70" customFormat="1" ht="42.75" x14ac:dyDescent="0.25">
      <c r="A54" s="86" t="s">
        <v>61</v>
      </c>
      <c r="B54" s="120">
        <f>AVERAGE(B53:D53)</f>
        <v>11.886666666666665</v>
      </c>
      <c r="C54" s="120"/>
      <c r="D54" s="120"/>
      <c r="E54" s="71"/>
      <c r="F54"/>
      <c r="G54" s="85"/>
      <c r="H54" s="85"/>
      <c r="I54" s="85"/>
      <c r="J54" s="85"/>
      <c r="K54" s="85"/>
      <c r="L54" s="85"/>
      <c r="M54" s="73"/>
    </row>
    <row r="55" spans="1:17" ht="43.5" customHeight="1" x14ac:dyDescent="0.25">
      <c r="A55" s="121" t="s">
        <v>62</v>
      </c>
      <c r="B55" s="121"/>
      <c r="C55" s="121"/>
      <c r="D55" s="121"/>
      <c r="E55" s="121"/>
      <c r="F55" s="71"/>
      <c r="G55" s="82"/>
      <c r="H55" s="82"/>
      <c r="I55" s="82"/>
      <c r="J55" s="82"/>
      <c r="K55" s="82"/>
      <c r="L55" s="82"/>
      <c r="M55" s="73"/>
      <c r="N55" s="87"/>
      <c r="O55" s="87"/>
      <c r="P55" s="87"/>
      <c r="Q55" s="87"/>
    </row>
    <row r="56" spans="1:17" x14ac:dyDescent="0.25">
      <c r="A56" s="71"/>
      <c r="B56" s="71"/>
      <c r="C56" s="71"/>
      <c r="D56" s="71"/>
      <c r="E56" s="71"/>
      <c r="F56" s="71"/>
      <c r="G56" s="84"/>
      <c r="H56" s="84"/>
      <c r="I56" s="84"/>
      <c r="J56" s="84"/>
      <c r="K56" s="84"/>
      <c r="L56" s="84"/>
      <c r="M56" s="73"/>
      <c r="N56" s="87"/>
      <c r="O56" s="87"/>
      <c r="P56" s="87"/>
      <c r="Q56" s="87"/>
    </row>
    <row r="57" spans="1:17" ht="25.5" x14ac:dyDescent="0.2">
      <c r="A57" s="74" t="s">
        <v>56</v>
      </c>
      <c r="B57" s="75" t="s">
        <v>9</v>
      </c>
      <c r="C57" s="75" t="s">
        <v>11</v>
      </c>
      <c r="D57" s="75" t="s">
        <v>13</v>
      </c>
      <c r="E57" s="75" t="s">
        <v>15</v>
      </c>
      <c r="F57" s="75" t="s">
        <v>17</v>
      </c>
      <c r="G57" s="84"/>
      <c r="H57" s="84"/>
      <c r="I57" s="84"/>
      <c r="J57" s="84"/>
      <c r="K57" s="84"/>
      <c r="L57" s="84"/>
      <c r="M57" s="73"/>
      <c r="N57" s="87"/>
      <c r="O57" s="87"/>
      <c r="P57" s="87"/>
      <c r="Q57" s="87"/>
    </row>
    <row r="58" spans="1:17" s="70" customFormat="1" ht="16.5" x14ac:dyDescent="0.25">
      <c r="A58" s="79" t="s">
        <v>57</v>
      </c>
      <c r="B58" s="80">
        <v>715</v>
      </c>
      <c r="C58" s="80">
        <v>500</v>
      </c>
      <c r="D58" s="80">
        <v>760</v>
      </c>
      <c r="E58" s="80">
        <v>500</v>
      </c>
      <c r="F58" s="80">
        <v>700</v>
      </c>
      <c r="G58" s="73"/>
      <c r="H58" s="73"/>
      <c r="I58" s="73"/>
      <c r="J58" s="73"/>
      <c r="K58" s="73"/>
      <c r="L58" s="73"/>
      <c r="M58" s="73"/>
    </row>
    <row r="59" spans="1:17" s="70" customFormat="1" ht="42.75" x14ac:dyDescent="0.25">
      <c r="A59" s="74" t="s">
        <v>58</v>
      </c>
      <c r="B59" s="80">
        <v>80</v>
      </c>
      <c r="C59" s="80">
        <v>80</v>
      </c>
      <c r="D59" s="80">
        <v>80</v>
      </c>
      <c r="E59" s="80">
        <v>80</v>
      </c>
      <c r="F59" s="80">
        <v>80</v>
      </c>
      <c r="G59" s="72"/>
      <c r="H59" s="72"/>
      <c r="I59" s="72"/>
      <c r="J59" s="72"/>
      <c r="K59" s="72"/>
      <c r="L59" s="72"/>
      <c r="M59" s="78"/>
    </row>
    <row r="60" spans="1:17" ht="59.25" x14ac:dyDescent="0.2">
      <c r="A60" s="74" t="s">
        <v>59</v>
      </c>
      <c r="B60" s="80">
        <v>2.19</v>
      </c>
      <c r="C60" s="80">
        <v>2.82</v>
      </c>
      <c r="D60" s="80">
        <v>2.5499999999999998</v>
      </c>
      <c r="E60" s="80">
        <v>2.8</v>
      </c>
      <c r="F60" s="80">
        <v>2.15</v>
      </c>
      <c r="G60" s="88"/>
      <c r="H60" s="88"/>
      <c r="I60" s="88"/>
      <c r="J60" s="88"/>
      <c r="K60" s="88"/>
      <c r="L60" s="88"/>
      <c r="M60" s="70"/>
      <c r="N60" s="87"/>
      <c r="O60" s="87"/>
      <c r="P60" s="87"/>
      <c r="Q60" s="87"/>
    </row>
    <row r="61" spans="1:17" ht="15.75" x14ac:dyDescent="0.2">
      <c r="A61" s="89" t="s">
        <v>60</v>
      </c>
      <c r="B61" s="80">
        <f>ROUND(B60*B58/B59,2)</f>
        <v>19.57</v>
      </c>
      <c r="C61" s="80">
        <f t="shared" ref="C61:F61" si="9">ROUND(C60*C58/C59,2)</f>
        <v>17.63</v>
      </c>
      <c r="D61" s="80">
        <f t="shared" si="9"/>
        <v>24.23</v>
      </c>
      <c r="E61" s="80">
        <f t="shared" si="9"/>
        <v>17.5</v>
      </c>
      <c r="F61" s="80">
        <f t="shared" si="9"/>
        <v>18.809999999999999</v>
      </c>
      <c r="G61" s="90"/>
      <c r="H61" s="90"/>
      <c r="I61" s="90"/>
      <c r="J61" s="90"/>
      <c r="K61" s="90"/>
      <c r="L61" s="90"/>
      <c r="M61" s="70"/>
      <c r="N61" s="87"/>
      <c r="O61" s="87"/>
      <c r="P61" s="87"/>
      <c r="Q61" s="87"/>
    </row>
    <row r="62" spans="1:17" ht="50.25" customHeight="1" x14ac:dyDescent="0.2">
      <c r="A62" s="91" t="s">
        <v>61</v>
      </c>
      <c r="B62" s="122">
        <f>AVERAGE(B61:F61)</f>
        <v>19.548000000000002</v>
      </c>
      <c r="C62" s="123"/>
      <c r="D62" s="123"/>
      <c r="E62" s="123"/>
      <c r="F62" s="124"/>
      <c r="G62" s="87"/>
      <c r="H62" s="87"/>
      <c r="I62" s="87"/>
      <c r="J62" s="87"/>
      <c r="K62" s="87"/>
      <c r="L62" s="87"/>
      <c r="M62" s="70"/>
      <c r="N62" s="87"/>
      <c r="O62" s="87"/>
      <c r="P62" s="87"/>
      <c r="Q62" s="87"/>
    </row>
    <row r="63" spans="1:17" s="7" customFormat="1" ht="15.75" x14ac:dyDescent="0.25">
      <c r="A63" s="92" t="s">
        <v>63</v>
      </c>
      <c r="B63" s="9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0"/>
      <c r="N63" s="87"/>
      <c r="O63" s="87"/>
      <c r="P63" s="87"/>
      <c r="Q63" s="87"/>
    </row>
    <row r="64" spans="1:17" s="7" customFormat="1" x14ac:dyDescent="0.25">
      <c r="A64" s="94"/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70"/>
      <c r="N64" s="87"/>
      <c r="O64" s="87"/>
      <c r="P64" s="87"/>
      <c r="Q64" s="87"/>
    </row>
    <row r="65" spans="1:17" s="7" customFormat="1" ht="15.75" x14ac:dyDescent="0.25">
      <c r="A65" s="92" t="s">
        <v>64</v>
      </c>
      <c r="B65" s="92"/>
      <c r="C65" s="96"/>
      <c r="D65" s="96"/>
      <c r="E65" s="96"/>
      <c r="F65" s="96"/>
      <c r="G65" s="96"/>
      <c r="H65" s="96"/>
      <c r="I65" s="96"/>
      <c r="J65" s="96"/>
      <c r="K65" s="96"/>
      <c r="L65" s="96"/>
      <c r="N65" s="1"/>
      <c r="O65" s="1"/>
      <c r="P65" s="1"/>
      <c r="Q65" s="1"/>
    </row>
    <row r="66" spans="1:17" s="7" customFormat="1" ht="15.75" x14ac:dyDescent="0.25">
      <c r="A66" s="92"/>
      <c r="B66" s="92"/>
      <c r="C66" s="96"/>
      <c r="D66" s="96"/>
      <c r="E66" s="96"/>
      <c r="F66" s="96"/>
      <c r="G66" s="96"/>
      <c r="H66" s="96"/>
      <c r="I66" s="96"/>
      <c r="J66" s="96"/>
      <c r="K66" s="96"/>
      <c r="L66" s="96"/>
      <c r="N66" s="1"/>
      <c r="O66" s="1"/>
      <c r="P66" s="1"/>
      <c r="Q66" s="1"/>
    </row>
    <row r="67" spans="1:17" ht="15.75" x14ac:dyDescent="0.25">
      <c r="A67" s="97" t="s">
        <v>65</v>
      </c>
    </row>
  </sheetData>
  <mergeCells count="21">
    <mergeCell ref="B54:D54"/>
    <mergeCell ref="A55:E55"/>
    <mergeCell ref="B62:F62"/>
    <mergeCell ref="A41:B41"/>
    <mergeCell ref="A42:B42"/>
    <mergeCell ref="A43:B43"/>
    <mergeCell ref="A44:B44"/>
    <mergeCell ref="A46:L46"/>
    <mergeCell ref="A47:E47"/>
    <mergeCell ref="A40:B40"/>
    <mergeCell ref="J2:L2"/>
    <mergeCell ref="A5:L5"/>
    <mergeCell ref="A6:L6"/>
    <mergeCell ref="A7:L7"/>
    <mergeCell ref="A9:L9"/>
    <mergeCell ref="A23:B23"/>
    <mergeCell ref="A24:B24"/>
    <mergeCell ref="A25:B25"/>
    <mergeCell ref="A26:M26"/>
    <mergeCell ref="A27:M27"/>
    <mergeCell ref="A39:B39"/>
  </mergeCells>
  <pageMargins left="0.19685039370078741" right="0.19685039370078741" top="0.39370078740157483" bottom="0.19685039370078741" header="0" footer="0"/>
  <pageSetup paperSize="9" scale="88" fitToHeight="0" orientation="landscape" r:id="rId1"/>
  <headerFooter differentFirst="1" alignWithMargins="0">
    <oddFooter>&amp;C&amp;P</oddFooter>
  </headerFooter>
  <rowBreaks count="2" manualBreakCount="2">
    <brk id="25" max="16383" man="1"/>
    <brk id="4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Skolu sporta zāles</vt:lpstr>
      <vt:lpstr>'Skolu sporta zāles'!Print_Area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</dc:creator>
  <cp:lastModifiedBy>Spīdola Ozoliņa</cp:lastModifiedBy>
  <dcterms:created xsi:type="dcterms:W3CDTF">2015-02-09T16:36:32Z</dcterms:created>
  <dcterms:modified xsi:type="dcterms:W3CDTF">2015-02-12T13:35:25Z</dcterms:modified>
</cp:coreProperties>
</file>