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0"/>
  </bookViews>
  <sheets>
    <sheet name="1.pielikums" sheetId="1" r:id="rId1"/>
    <sheet name="2.pielikums" sheetId="2" r:id="rId2"/>
    <sheet name="3.pielikums" sheetId="3" r:id="rId3"/>
    <sheet name="6.pielikums" sheetId="4" r:id="rId4"/>
  </sheets>
  <definedNames>
    <definedName name="_xlnm.Print_Titles" localSheetId="2">'3.pielikums'!$7:$8</definedName>
  </definedNames>
  <calcPr fullCalcOnLoad="1"/>
</workbook>
</file>

<file path=xl/sharedStrings.xml><?xml version="1.0" encoding="utf-8"?>
<sst xmlns="http://schemas.openxmlformats.org/spreadsheetml/2006/main" count="533" uniqueCount="476">
  <si>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</si>
  <si>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</si>
  <si>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</si>
  <si>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</si>
  <si>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</si>
  <si>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</si>
  <si>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</si>
  <si>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</si>
  <si>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</si>
  <si>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</si>
  <si>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</si>
  <si>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</si>
  <si>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</si>
  <si>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</si>
  <si>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</si>
  <si>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</si>
  <si>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</si>
  <si>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</si>
  <si>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</si>
  <si>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</si>
  <si>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</si>
  <si>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</si>
  <si>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</si>
  <si>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</si>
  <si>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</si>
  <si>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</si>
  <si>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</si>
  <si>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</si>
  <si>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</si>
  <si>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</si>
  <si>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</si>
  <si>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</si>
  <si>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</si>
  <si>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</si>
  <si>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</si>
  <si>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</si>
  <si>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</si>
  <si>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</si>
  <si>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</si>
  <si>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</si>
  <si>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</si>
  <si>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</si>
  <si>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</si>
  <si>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</si>
  <si>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</si>
  <si>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03.110.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</si>
  <si>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</si>
  <si>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</si>
  <si>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</si>
  <si>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</si>
  <si>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</si>
  <si>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</si>
  <si>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</si>
  <si>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</si>
  <si>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</si>
  <si>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</si>
  <si>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</si>
  <si>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</si>
  <si>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</si>
  <si>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</si>
  <si>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</si>
  <si>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</si>
  <si>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</si>
  <si>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</si>
  <si>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</si>
  <si>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</si>
  <si>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</si>
  <si>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</si>
  <si>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</si>
  <si>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</si>
  <si>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</si>
  <si>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</si>
  <si>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</si>
  <si>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</si>
  <si>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</si>
  <si>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</si>
  <si>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</si>
  <si>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</si>
  <si>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</si>
  <si>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</si>
  <si>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</si>
  <si>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</si>
  <si>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</si>
  <si>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>3. pielikums</t>
  </si>
  <si>
    <t xml:space="preserve">           Pamatbudžeta izdevumu atšifrējums pa programmām </t>
  </si>
  <si>
    <t>PAVISAM IZDEVUMI (I+II)</t>
  </si>
  <si>
    <t>A.Rāviņš</t>
  </si>
  <si>
    <t>1. pielikums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</si>
  <si>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</si>
  <si>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</si>
  <si>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</si>
  <si>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</si>
  <si>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</si>
  <si>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</si>
  <si>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</si>
  <si>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</si>
  <si>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</si>
  <si>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</si>
  <si>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</si>
  <si>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10.600.</t>
  </si>
  <si>
    <t>10.700.</t>
  </si>
  <si>
    <t>Notekūdeņu apsaimniekošana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</si>
  <si>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</si>
  <si>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</si>
  <si>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</si>
  <si>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</si>
  <si>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</si>
  <si>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</si>
  <si>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09.810.</t>
  </si>
  <si>
    <t xml:space="preserve">Teātri, izrādes un koncertdarbība </t>
  </si>
  <si>
    <t>09.200.</t>
  </si>
  <si>
    <t>Pamatizglītība, vispārējā un profesionālā izglītība</t>
  </si>
  <si>
    <t>Interešu un profesionālās ievirzes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</si>
  <si>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</si>
  <si>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</si>
  <si>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</si>
  <si>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</si>
  <si>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</si>
  <si>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</si>
  <si>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</si>
  <si>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</si>
  <si>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</si>
  <si>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</si>
  <si>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</si>
  <si>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</si>
  <si>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</si>
  <si>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</si>
  <si>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Sociālās un medicīniskās aprūpes centrs</t>
  </si>
  <si>
    <t>10.401.</t>
  </si>
  <si>
    <t>10.403.</t>
  </si>
  <si>
    <t>10.701.</t>
  </si>
  <si>
    <t>10.703.</t>
  </si>
  <si>
    <t>10.704.</t>
  </si>
  <si>
    <t>10.706.</t>
  </si>
  <si>
    <t>10.707.</t>
  </si>
  <si>
    <t>Sociālā māja un sociālie dzīvokļi</t>
  </si>
  <si>
    <t>Atkarību profilakses kabinets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</si>
  <si>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</si>
  <si>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</si>
  <si>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</si>
  <si>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</si>
  <si>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</si>
  <si>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</si>
  <si>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</si>
  <si>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</si>
  <si>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</si>
  <si>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</si>
  <si>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</si>
  <si>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</si>
  <si>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Naudas sodi, ko uzliek pašvaldības</t>
  </si>
  <si>
    <t>Soda sankcijas par vispārējiem nodokļu maksāšanas pārkāpumiem</t>
  </si>
  <si>
    <t xml:space="preserve">Ieņēmumi no pašvaldības īpašuma iznomāšanas, pārdošanas un no nodokļu pamatparāda kapitalizācijas 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</si>
  <si>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</si>
  <si>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</si>
  <si>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</si>
  <si>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</si>
  <si>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</si>
  <si>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</si>
  <si>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</si>
  <si>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</si>
  <si>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</si>
  <si>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</si>
  <si>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</si>
  <si>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>Pamatkapitāla palielināšana SIA "Zemgales Olimpiskais centrs"</t>
  </si>
  <si>
    <t>Pārējā citur neklasificētā kultūra</t>
  </si>
  <si>
    <t>Bērnu un ģimenes atbalsta centrs</t>
  </si>
  <si>
    <t>SAISTOŠAJIEM NOTEIKUMIEM Nr. ____</t>
  </si>
  <si>
    <t>01.122.</t>
  </si>
  <si>
    <t>01.123.</t>
  </si>
  <si>
    <t xml:space="preserve">Tūrisms </t>
  </si>
  <si>
    <t>04.900.</t>
  </si>
  <si>
    <t>Pārējā citur neklasificētā ekonomiskā darbība</t>
  </si>
  <si>
    <t>Pilsētas sanitārā tīrīšana (SIA "Zemgales EKO" funkcija)</t>
  </si>
  <si>
    <t xml:space="preserve">05.102. </t>
  </si>
  <si>
    <t>10.402.</t>
  </si>
  <si>
    <t>SAISTOŠAJIEM NOTEIKUMIEM Nr.____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</si>
  <si>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</si>
  <si>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</si>
  <si>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</si>
  <si>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</si>
  <si>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</si>
  <si>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</si>
  <si>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PROJEKTS</t>
  </si>
  <si>
    <t>Akcijas un cita līdzdalība komersantu pašu kapitālā</t>
  </si>
  <si>
    <t xml:space="preserve"> 2.pielikums</t>
  </si>
  <si>
    <t>09.811.</t>
  </si>
  <si>
    <t>Pārējā izglītības vadība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</si>
  <si>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</si>
  <si>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</si>
  <si>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</si>
  <si>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</si>
  <si>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</si>
  <si>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</si>
  <si>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</si>
  <si>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Pārejie dažādi nenodokļu ieņēmumi, kas nav iepriekš klasificēti šajā klasifikācijā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</si>
  <si>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</si>
  <si>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</si>
  <si>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</si>
  <si>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</si>
  <si>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</si>
  <si>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</si>
  <si>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 xml:space="preserve">Akcijas un cita līdzdalība komersantu pašu kapitālā </t>
  </si>
  <si>
    <t>04.901.</t>
  </si>
  <si>
    <t>04.905.</t>
  </si>
  <si>
    <t>Zemes reformas darbība, zemes īpašuma un lietošanas tiesību pārveidošana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</si>
  <si>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</si>
  <si>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</si>
  <si>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</si>
  <si>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</si>
  <si>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</si>
  <si>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</si>
  <si>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09.101.</t>
  </si>
  <si>
    <t>09.222.</t>
  </si>
  <si>
    <t>Profesionālā vidējā izglītība</t>
  </si>
  <si>
    <t>09.530.</t>
  </si>
  <si>
    <t>Līmeņos nedefinēta izglītība pieaugušajiem</t>
  </si>
  <si>
    <t>09.531.</t>
  </si>
  <si>
    <t>09.532.</t>
  </si>
  <si>
    <t>09.520.</t>
  </si>
  <si>
    <t>Sociālā palīdzība ģimenēm ar bērniem un vardarbībā cietušo bērnu rehabilitācija</t>
  </si>
  <si>
    <t>Nekustamā īpašuma nodoklis par mājokļiem</t>
  </si>
  <si>
    <t>Ieņēmumi no dzīvojamo māju privatizācijas</t>
  </si>
  <si>
    <t>01.111.</t>
  </si>
  <si>
    <t xml:space="preserve">Klasifik. kods </t>
  </si>
  <si>
    <t>Izpildvaras institūcija</t>
  </si>
  <si>
    <t>01.112.</t>
  </si>
  <si>
    <t>04.519.</t>
  </si>
  <si>
    <t>04.906.</t>
  </si>
  <si>
    <t>08.241.</t>
  </si>
  <si>
    <t>Jelgavas kamerorķestris</t>
  </si>
  <si>
    <t>09.210.</t>
  </si>
  <si>
    <t>08.105.</t>
  </si>
  <si>
    <t>08.243.</t>
  </si>
  <si>
    <t>Jelgavas Ā.Alunāna teātra darbības nodrošināšana</t>
  </si>
  <si>
    <t>08.401.</t>
  </si>
  <si>
    <t>08.402.</t>
  </si>
  <si>
    <t>Citi dažādi nenodokļu ieņēmumi</t>
  </si>
  <si>
    <t>08.231.</t>
  </si>
  <si>
    <t>08.232.</t>
  </si>
  <si>
    <t>08.403.</t>
  </si>
  <si>
    <t>Kultūras padomes finansētie pasākumi</t>
  </si>
  <si>
    <t>Subsīdija nodibinājumam "Kultūras tālākizglītības atbalsta fonds"</t>
  </si>
  <si>
    <t>08.405.</t>
  </si>
  <si>
    <t>Reliģisko organizāciju un citu biedrību un nodibinājumu pakalpojumi</t>
  </si>
  <si>
    <t>09.521.</t>
  </si>
  <si>
    <t>09.522.</t>
  </si>
  <si>
    <t>Atbalsta fondi</t>
  </si>
  <si>
    <t>Zvērināto auditoru pakalpojumi un grāmatvedības programmas "Horizon" uzturēšana</t>
  </si>
  <si>
    <t xml:space="preserve">Klasifikā-cijas kods 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</si>
  <si>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</si>
  <si>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</si>
  <si>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</si>
  <si>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</si>
  <si>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</si>
  <si>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</si>
  <si>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</si>
  <si>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</si>
  <si>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</si>
  <si>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</si>
  <si>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</si>
  <si>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</si>
  <si>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</si>
  <si>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</si>
  <si>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</si>
  <si>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</si>
  <si>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</si>
  <si>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</si>
  <si>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</si>
  <si>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</si>
  <si>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</si>
  <si>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</si>
  <si>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</si>
  <si>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</si>
  <si>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</si>
  <si>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</si>
  <si>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</si>
  <si>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</si>
  <si>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</si>
  <si>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</si>
  <si>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</si>
  <si>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</si>
  <si>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</si>
  <si>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</si>
  <si>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 xml:space="preserve">Budžeta iestāžu ieņēmumi </t>
  </si>
  <si>
    <t>21.300.</t>
  </si>
  <si>
    <t>21.340.</t>
  </si>
  <si>
    <t>21.350.</t>
  </si>
  <si>
    <t>21.370.</t>
  </si>
  <si>
    <t>21.380.</t>
  </si>
  <si>
    <t>21.390.</t>
  </si>
  <si>
    <t>01.124.</t>
  </si>
  <si>
    <t>Dotācija no vispārējiem ieņēmumiem</t>
  </si>
  <si>
    <t>Budžeta iestāžu ieņēmumi</t>
  </si>
  <si>
    <t xml:space="preserve"> Valsts budžeta transferti </t>
  </si>
  <si>
    <t>Pašvaldību budžeta transferti</t>
  </si>
  <si>
    <t>Nekustamā īpašuma nodokļa u.c.pašvaldības ieņēmumu administrēšana</t>
  </si>
  <si>
    <t>Izpildvaras un likumdošanas varas institūcijas</t>
  </si>
  <si>
    <r>
      <t>Pārējo vispārējas nozīmes dienestu darbība un pakalpojumi -</t>
    </r>
    <r>
      <rPr>
        <b/>
        <i/>
        <sz val="11"/>
        <rFont val="Times New Roman"/>
        <family val="1"/>
      </rPr>
      <t xml:space="preserve"> centralizēto datoru un datortīkla uzturēšana</t>
    </r>
  </si>
  <si>
    <r>
      <t xml:space="preserve">Pašvaldības budžetu parāda darījumi - </t>
    </r>
    <r>
      <rPr>
        <b/>
        <i/>
        <sz val="11"/>
        <rFont val="Times New Roman"/>
        <family val="1"/>
      </rPr>
      <t>parāda procentu nomaksa</t>
    </r>
  </si>
  <si>
    <r>
      <t xml:space="preserve">Pārējie citur neklasificētie vispārēja rakstura transferti starp dažādiem valsts pārvaldes līmeņiem - </t>
    </r>
    <r>
      <rPr>
        <i/>
        <sz val="11"/>
        <rFont val="Times New Roman"/>
        <family val="1"/>
      </rPr>
      <t>Izdevumi neparedzētiem gadījumiem</t>
    </r>
  </si>
  <si>
    <t>Jelgavas sporta skolas - SSC</t>
  </si>
  <si>
    <t>04.909.</t>
  </si>
  <si>
    <t>Dotācija "Zemgales plānošanas reģions"</t>
  </si>
  <si>
    <t>10.504.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</si>
  <si>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</si>
  <si>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</si>
  <si>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</si>
  <si>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09.812.</t>
  </si>
  <si>
    <t>Pašvaldību saņemtie valsts budžeta transferti noteiktam mērķim</t>
  </si>
  <si>
    <t>Pašvaldību saņemtie transferti no valsts budžeta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</si>
  <si>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</si>
  <si>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</si>
  <si>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</si>
  <si>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Citi iepriekš neklasificētie pašu ieņēmumi</t>
  </si>
  <si>
    <t>10.404.</t>
  </si>
  <si>
    <t>ESF projekts "Sociālās rehabilitācijas un motivācijas programma sociālās atstumtības riskam pakļautiem bērniem un jauniešiem Jelgavas pilsētā"</t>
  </si>
  <si>
    <r>
      <t>Kultūras centri, nami un klubi</t>
    </r>
    <r>
      <rPr>
        <b/>
        <i/>
        <sz val="11"/>
        <rFont val="Times New Roman"/>
        <family val="1"/>
      </rPr>
      <t xml:space="preserve"> </t>
    </r>
  </si>
  <si>
    <t>04.911.</t>
  </si>
  <si>
    <t>04.912.</t>
  </si>
  <si>
    <t>10.405.</t>
  </si>
  <si>
    <t>ERAF projekts "Ielu infrastruktūras attīstība un Driksas upes krastmalas sakārtošana"</t>
  </si>
  <si>
    <t>Latvijas - Lietuvas pārrobežu sadarbības programmas projekts "Zinātnes un ražošanas sadarbības veidošana Jelgavā un Šauļos"</t>
  </si>
  <si>
    <t xml:space="preserve">Pārējā citur neklasificētā pašvaldības teritoriju un mājokļu apsaimniekošanas darbība </t>
  </si>
  <si>
    <t>Dotācijas projektu realizācijai NVO</t>
  </si>
  <si>
    <t>Pirmsskolas izglītības iestāžu uzturēšana</t>
  </si>
  <si>
    <t>Atbalsts ģimenēm ar bērniem</t>
  </si>
  <si>
    <t>Atbalsts bezdarba gadījumā</t>
  </si>
  <si>
    <t>Pārējais citur neklasificētais atbalsts sociāli atstumtām personām</t>
  </si>
  <si>
    <r>
      <t>Mājokļa atbalsts -</t>
    </r>
    <r>
      <rPr>
        <b/>
        <i/>
        <sz val="11"/>
        <rFont val="Times New Roman"/>
        <family val="1"/>
      </rPr>
      <t>Dzīvokļa pabalsts un pabalsts individuālās apkures nodrošināšanai</t>
    </r>
  </si>
  <si>
    <t>Eiropas reģionālās attīstības projekts "Hidrotehnisko būvju rekonstrukcija plūdu draudu risku novēršanai Kalnciema ceļa - Loka maģistrāles rajonā, Jelgavā"</t>
  </si>
  <si>
    <t>ESF projekts "Sociālās rehabilitācijas programma Jelgavas pilsētā dzīvojošām romu tautības ģimenēm ar pirsskolas vai skolas vecuma bērniem"</t>
  </si>
  <si>
    <t>Palīdzība veciem cilvēkiem</t>
  </si>
  <si>
    <t>Valsts nodeva par uzvārda, vārda un tautības ieraksta maiņu personu apliecinošos dokumentos</t>
  </si>
  <si>
    <t>Subsīdija nodibinājumam "Sporta talākizglītības atbalsta fonds"</t>
  </si>
  <si>
    <t>09.529.</t>
  </si>
  <si>
    <t>06.606.</t>
  </si>
  <si>
    <t>04.914.</t>
  </si>
  <si>
    <t>08.242.</t>
  </si>
  <si>
    <t>10.709.</t>
  </si>
  <si>
    <t>01.600.</t>
  </si>
  <si>
    <t>10.922.</t>
  </si>
  <si>
    <t>04.734.</t>
  </si>
  <si>
    <t>05.304.</t>
  </si>
  <si>
    <t>07.622.</t>
  </si>
  <si>
    <t>09.219.3.</t>
  </si>
  <si>
    <t>09.518.</t>
  </si>
  <si>
    <r>
      <t xml:space="preserve">Pārējie iepriekš neklasificētie vispārējie vadības dienesti - </t>
    </r>
    <r>
      <rPr>
        <b/>
        <i/>
        <sz val="11"/>
        <rFont val="Times New Roman"/>
        <family val="1"/>
      </rPr>
      <t>vēlēšanu organizēšana</t>
    </r>
  </si>
  <si>
    <t xml:space="preserve">Pašvaldības operatīvās informācijas centrs </t>
  </si>
  <si>
    <t>Centrālās baltijas jūras reģiona INTERREG IV A programmas projekts "Centrālbaltijas velotīkls"</t>
  </si>
  <si>
    <t>ESF projekts "Jelgavas pilsētas attīstības plānošanas kapacitātes paaugstināšana"</t>
  </si>
  <si>
    <t>ESF projekts „Jelgavas pilsētas pašvaldības kapacitātes stiprināšana – II kārta”</t>
  </si>
  <si>
    <t xml:space="preserve">Ielu, laukumu, publisko dārzu un parku tīrīšana un atkritumu savākšana </t>
  </si>
  <si>
    <t>Latvijas - Lietuvas pārrobežu sadarbības programmas projekts "Ekoloģisko avāriju likvidēšana un vides piesārņojuma mazināšana Lielupes baseina teritorijā"</t>
  </si>
  <si>
    <t>05.300.</t>
  </si>
  <si>
    <t>Vides piesārņojuma novēršana un samazināšana</t>
  </si>
  <si>
    <t>06.201.</t>
  </si>
  <si>
    <t>Ar pašvaldības teritoriju saistīto normatīvo aktu un standartu sagatavošana un ieviešana</t>
  </si>
  <si>
    <t>Veselības veicināšanas pasākumi</t>
  </si>
  <si>
    <t>Latvijas - Lietuvas pārrobežu sadarbības programmas projekts "Veseli jaunieši"</t>
  </si>
  <si>
    <t>Muzeji un izstādes</t>
  </si>
  <si>
    <t>P/ie "Kultūra" pasākumi</t>
  </si>
  <si>
    <t>Jelgavas bigbends</t>
  </si>
  <si>
    <t>Pirmskolas izglītība</t>
  </si>
  <si>
    <t>Pirmsskolas izglītības iestāde Ganību ielā 66, Jelgavā</t>
  </si>
  <si>
    <t>09.101.13.</t>
  </si>
  <si>
    <t>Vispārējā izglītība</t>
  </si>
  <si>
    <t>09.219.1.</t>
  </si>
  <si>
    <t>09.219.2.</t>
  </si>
  <si>
    <t>Jelgavas Amatu vidusskolas projektu realizācija</t>
  </si>
  <si>
    <t>09.222.2.</t>
  </si>
  <si>
    <t>09.222.3.</t>
  </si>
  <si>
    <t>Citi interešu izglītības pasākumi, t.sk. Bērnu un jauniešu izglītības centrs "Junda"</t>
  </si>
  <si>
    <t>Subsīdija nodibinājumam "Izglītības atbalsta fonds"</t>
  </si>
  <si>
    <t>Subsīdija nodibinājumam "J.Bisenieka fonds"</t>
  </si>
  <si>
    <t>P/ie "Jelgavas bērnu sociālās aprūpes centrs" īslaicīgās sociālās aprūpes grupa</t>
  </si>
  <si>
    <t>10.900.</t>
  </si>
  <si>
    <r>
      <t>Pārējā citur neklasificētā sociālā aizsardzība</t>
    </r>
    <r>
      <rPr>
        <b/>
        <i/>
        <sz val="11"/>
        <rFont val="Times New Roman"/>
        <family val="1"/>
      </rPr>
      <t xml:space="preserve">  </t>
    </r>
  </si>
  <si>
    <t>Pabalsti ārkārtas gadījumos, citi pabalsti un kompensācijas</t>
  </si>
  <si>
    <t>10.921.</t>
  </si>
  <si>
    <t>Braukšanas maksas atvieglojumi skolēniem sabiedriskajā transportā</t>
  </si>
  <si>
    <t>Pašvaldības nodeva par domes izstrādāto oficiālo dokumentu un apstiprinātu to kopiju saņemšanu</t>
  </si>
  <si>
    <t>Pārējās nodevas, ko uzliek pašvaldības</t>
  </si>
  <si>
    <t>Ieņēmumi no apbūvēta zemesgabala privatizācijas</t>
  </si>
  <si>
    <t>Ieņēmumi no neapbūvēta zemesgabala privatizācijas</t>
  </si>
  <si>
    <t>21.490.</t>
  </si>
  <si>
    <t>Pamatkapitāla palielināšana SIA "Medicīnas sabiedrība OPTIMA 1"</t>
  </si>
  <si>
    <t>Pamatkapitāla palielināšana SIA "Jelgavas pilsētas slimnīca"</t>
  </si>
  <si>
    <t>09.101.14.</t>
  </si>
  <si>
    <t>04.521.</t>
  </si>
  <si>
    <t>04.522.</t>
  </si>
  <si>
    <t>04.916.</t>
  </si>
  <si>
    <t>SAISTOŠAJIEM NOTEIKUMIEM Nr.______</t>
  </si>
  <si>
    <t>SPECIĀLĀ BUDŽETA NOSAUKUMS</t>
  </si>
  <si>
    <t>I</t>
  </si>
  <si>
    <t xml:space="preserve">Dabas resursu nodoklis </t>
  </si>
  <si>
    <t>Dabas resursu nodoklis par dabas resursu ieguvi un vides piesārņojumu</t>
  </si>
  <si>
    <t>II</t>
  </si>
  <si>
    <t>Autoceļu (ielu) fonda līdzekļi</t>
  </si>
  <si>
    <t>Mērķdotācija pašvaldību autoceļu (ielu) fondiem</t>
  </si>
  <si>
    <t>Mērķdotācija pašvaldībām  pasažieru regulārajiem pārvadājumiem ar autobusiem</t>
  </si>
  <si>
    <t xml:space="preserve"> P/ ie "Pašvaldības iestāžu centralizētā grāmatvedība" darbības nodrošināšana</t>
  </si>
  <si>
    <t>P/ie "Jelgavas pilsētas pašvaldības policija" darbības nodrošināšana</t>
  </si>
  <si>
    <t xml:space="preserve">ERAF projekts „Transporta infrastruktūras izbūve industriālo teritoriju attīstības nodrošināšanai Jelgavā” </t>
  </si>
  <si>
    <t xml:space="preserve">ERAF projekts "Satiksmes termināla apkalpošanai  nepieciešamās ielu infrastruktūras izbūve Jelgavā" </t>
  </si>
  <si>
    <t>P/ie Jelgavas reģionālais tūrisma centrs darbība nodrošināšana</t>
  </si>
  <si>
    <t>ERAF projekts "Pasta salas labiekārtošana un upju kā tūrisma un aktīvās atpūtas produkta veidošana Jelgavā"</t>
  </si>
  <si>
    <t>ERAF projekts„Jāņa kolektora rekonstrukcija plūdu draudu novēršanai un samazināšanai Jelgavā”</t>
  </si>
  <si>
    <t>05.601.</t>
  </si>
  <si>
    <t xml:space="preserve">Latvijas – Lietuvas pārrobežu sadarbības programmas projekts „Vides izpratnes veicināšana Jelgavas un Šauļu pilsētās” </t>
  </si>
  <si>
    <t>Projektu sagatavošana, izstrāde un teritoriju attīstība</t>
  </si>
  <si>
    <t>P/ie "Pilsētsaimniecība" darbības nodrošināšana</t>
  </si>
  <si>
    <t>P/ie "Sporta servisa centrs" darbības nodrošināšana</t>
  </si>
  <si>
    <t>P/ie  "Jelgavas zinātniskā bibliotēka" darbības nodrošināšana</t>
  </si>
  <si>
    <t>P/ie "Jelgavas Ģ.Eliasa Vēstures un mākslas muzejs" darbības nodrošināšana</t>
  </si>
  <si>
    <t>P/ie  "Kultūra" darbības nodrošināšana</t>
  </si>
  <si>
    <t>P/ie "Zemgales INFO" darbības nodrošināšana</t>
  </si>
  <si>
    <t>Dotācijas reliģiskajām un citām biedrībām, nodibinājumiem - finanšu nodaļa</t>
  </si>
  <si>
    <t>Pirmsskolas izglītības iestāde Skautu ielā 1a, Jelgavā</t>
  </si>
  <si>
    <t xml:space="preserve">Projekts„Jelgavas pilsētas pašvaldības pirmsskolas izglītības iestādes izveide Ganību ielā 66” </t>
  </si>
  <si>
    <t>09.107.</t>
  </si>
  <si>
    <t>Internātpamatskolas un šo skolu projektu īstenošana</t>
  </si>
  <si>
    <t>Jelgavas vispārizglītojošo skolu projektu īstenošana</t>
  </si>
  <si>
    <t>Jelgavas vispārizglītojošo skolu uzturēšana</t>
  </si>
  <si>
    <t>Jelgavas Amatu vidusskolas uzturēšana</t>
  </si>
  <si>
    <t>Jelgavas mākslas skolas uzturēšana</t>
  </si>
  <si>
    <t>Bērnu un jauniešu izglītības centra "Junda" projektu īstenošana</t>
  </si>
  <si>
    <t>P/ie "Zemgales reģionālais kompetenču attīstības centrs" darbības nodrošināšana</t>
  </si>
  <si>
    <t>P/ie "Zemgales reģionālais kompetenču attīstības centrs" projektu īstenošana</t>
  </si>
  <si>
    <t>P/ie "Jelgavas Izglītības pārvalde" darbības nodrošināšana</t>
  </si>
  <si>
    <t>09.812.3.</t>
  </si>
  <si>
    <t>P/ie "Jelgavas Izglītības pārvalde"  projektu īstenošana</t>
  </si>
  <si>
    <t>P/ie "Jelgavas Izglītības pārvalde" iekļaujošas izglītības atbalsta centrs</t>
  </si>
  <si>
    <t>P/ie Bāriņtiesa darbības nodrošināšana</t>
  </si>
  <si>
    <t>JSLP Naktspatversme</t>
  </si>
  <si>
    <t>P/ie "Jelgavas bērnu sociālās aprūpes centrs"darbības nodrošināšana</t>
  </si>
  <si>
    <t>P/ie "Jelgavas sociālo lietu pārvalde" darbības nodrošināšana</t>
  </si>
  <si>
    <t>EUR</t>
  </si>
  <si>
    <t>10.705.2.</t>
  </si>
  <si>
    <t xml:space="preserve">           Pamatbudžeta izdevumi                                                            </t>
  </si>
  <si>
    <t>2015.gada plāns</t>
  </si>
  <si>
    <t xml:space="preserve">         JELGAVAS PILSĒTAS PAŠVALDĪBAS 2015.GADA BUDŽETS  </t>
  </si>
  <si>
    <t>26.02.2015. lēmums Nr.___</t>
  </si>
  <si>
    <t>Finansēšana (naudas līdzekļu atlikums uz 31.12.2014.)</t>
  </si>
  <si>
    <t xml:space="preserve">JELGAVAS PILSĒTAS PAŠVALDĪBAS 2015.GADA BUDŽETS  </t>
  </si>
  <si>
    <t>Plāns 2015.gadam</t>
  </si>
  <si>
    <t>2015.gada izdevumu plāns</t>
  </si>
  <si>
    <t xml:space="preserve">26.02.2015.lēmums Nr._____  </t>
  </si>
  <si>
    <t>26.02.2015.lēmums Nr.___</t>
  </si>
  <si>
    <t>26.02.2015. lēmums Nr._____</t>
  </si>
  <si>
    <t>2015.gada speciālā budžeta resursu plāns</t>
  </si>
  <si>
    <t xml:space="preserve">2015.gada speciālā budžeta izdevumu plāns </t>
  </si>
  <si>
    <t>05.530.</t>
  </si>
  <si>
    <t>2015. gada  ieņēmumu plāns</t>
  </si>
  <si>
    <t>04.523.</t>
  </si>
  <si>
    <t xml:space="preserve">Projekts "Lietuvas šosejas posma no Viskaļu ielas līdz pilsētas administreatīvajai teritorijai asfalta seguma atjaunošana" </t>
  </si>
  <si>
    <t>09.109.</t>
  </si>
  <si>
    <t>Projekts "JPII Skautu ielā 1a, Jelgavā, rekonstrukcija"</t>
  </si>
  <si>
    <t>03.205.</t>
  </si>
  <si>
    <t>Projekts "Ikdienas negadījumu un katastrofu novēršana Baltijā"</t>
  </si>
  <si>
    <t>09.217.</t>
  </si>
  <si>
    <t>III</t>
  </si>
  <si>
    <t>Ziedojumi un dāvinājumi</t>
  </si>
  <si>
    <t xml:space="preserve">             JELGAVAS PILSĒTAS  PAŠVALDĪBAS  2015.GADA  SPECIĀLAIS BUDŽETS</t>
  </si>
  <si>
    <t>KOPĀ SPECIĀLO BUDŽETU RESURSI (I+II+III)</t>
  </si>
  <si>
    <t>KODS</t>
  </si>
  <si>
    <t xml:space="preserve"> 6. pielikums</t>
  </si>
  <si>
    <t>21.100.</t>
  </si>
  <si>
    <t>Budžeta iestādes ieņēmumi no ārvalstu finanšu palīdzības</t>
  </si>
  <si>
    <t>10.911.</t>
  </si>
  <si>
    <t>10.912.</t>
  </si>
  <si>
    <t>Projekts "Lietpratīga pārvaldība un Latvijas pašvaldību veiktspīejas uzlabošaba"</t>
  </si>
  <si>
    <t>Projekts "Jelgavas 1.internātpamatskolas rekonstrukcija"</t>
  </si>
  <si>
    <t>Finansēšana - naudas līdzekļu atlikums perioda sākumā</t>
  </si>
  <si>
    <t>Finansēšana - naudas līdzekļu atlikums perioda beigās</t>
  </si>
  <si>
    <t>Zaudējumu kompensācija pašvaldības SIA "Jelgavas autobusu parks"</t>
  </si>
  <si>
    <t>Inteliģentās enerģijas -Eiropas programmas  projekts "Zemgales reģionālās enerģētikas aģentūras izveide enerģijas vadības un efektivitātes atbalstīšanai"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</si>
</sst>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\ _L_s_-;\-* #,##0\ _L_s_-;_-* &quot;-&quot;??\ _L_s_-;_-@_-"/>
    <numFmt numFmtId="176" formatCode="_-* #,##0.0\ _L_s_-;\-* #,##0.0\ _L_s_-;_-* &quot;-&quot;??\ _L_s_-;_-@_-"/>
    <numFmt numFmtId="177" formatCode="0.000%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_-;\-* #,##0_-;_-* &quot;-&quot;??_-;_-@_-"/>
    <numFmt numFmtId="187" formatCode="_-* #,##0.000\ &quot;Ls&quot;_-;\-* #,##0.000\ &quot;Ls&quot;_-;_-* &quot;-&quot;??\ &quot;Ls&quot;_-;_-@_-"/>
    <numFmt numFmtId="188" formatCode="_-* #,##0.0000\ &quot;Ls&quot;_-;\-* #,##0.0000\ &quot;Ls&quot;_-;_-* &quot;-&quot;??\ &quot;Ls&quot;_-;_-@_-"/>
    <numFmt numFmtId="189" formatCode="_-* #,##0.00000\ &quot;Ls&quot;_-;\-* #,##0.00000\ &quot;Ls&quot;_-;_-* &quot;-&quot;??\ &quot;Ls&quot;_-;_-@_-"/>
    <numFmt numFmtId="190" formatCode="_-* #,##0.000000\ &quot;Ls&quot;_-;\-* #,##0.000000\ &quot;Ls&quot;_-;_-* &quot;-&quot;??\ &quot;Ls&quot;_-;_-@_-"/>
    <numFmt numFmtId="191" formatCode="_-* #,##0.0000000\ &quot;Ls&quot;_-;\-* #,##0.0000000\ &quot;Ls&quot;_-;_-* &quot;-&quot;??\ &quot;Ls&quot;_-;_-@_-"/>
    <numFmt numFmtId="192" formatCode="_-* #,##0.000\ _L_s_-;\-* #,##0.000\ _L_s_-;_-* &quot;-&quot;??\ _L_s_-;_-@_-"/>
    <numFmt numFmtId="193" formatCode="_-* #,##0.0000\ _L_s_-;\-* #,##0.0000\ _L_s_-;_-* &quot;-&quot;??\ _L_s_-;_-@_-"/>
    <numFmt numFmtId="194" formatCode="[$-426]dddd\,\ yyyy&quot;. gada &quot;d\.\ mm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_-;\-* #,##0.0_-;_-* &quot;-&quot;??_-;_-@_-"/>
    <numFmt numFmtId="200" formatCode="_-* #,##0.0\ &quot;Ls&quot;_-;\-* #,##0.0\ &quot;Ls&quot;_-;_-* &quot;-&quot;??\ &quot;Ls&quot;_-;_-@_-"/>
    <numFmt numFmtId="201" formatCode="_-* #,##0\ &quot;Ls&quot;_-;\-* #,##0\ &quot;Ls&quot;_-;_-* &quot;-&quot;??\ &quot;Ls&quot;_-;_-@_-"/>
    <numFmt numFmtId="202" formatCode="[$€-2]\ #,##0.00_);[Red]\([$€-2]\ #,##0.00\)"/>
    <numFmt numFmtId="203" formatCode="0.000000000"/>
    <numFmt numFmtId="204" formatCode="_-* #,##0.000000_-;\-* #,##0.000000_-;_-* &quot;-&quot;??????_-;_-@_-"/>
    <numFmt numFmtId="205" formatCode="[$€-2]\ #,##0.00"/>
    <numFmt numFmtId="206" formatCode="[$€-2]\ #,##0.0"/>
    <numFmt numFmtId="207" formatCode="[$€-2]\ #,##0"/>
    <numFmt numFmtId="208" formatCode="[$€-2]\ #,##0.00;\-[$€-2]\ #,##0.00"/>
    <numFmt numFmtId="209" formatCode="mmm/yyyy"/>
    <numFmt numFmtId="210" formatCode="#,##0.0"/>
    <numFmt numFmtId="211" formatCode="#,##0.00_ ;\-#,##0.00\ 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3"/>
      <name val="Arial"/>
      <family val="2"/>
    </font>
    <font>
      <b/>
      <i/>
      <sz val="11"/>
      <name val="Times New Roman"/>
      <family val="1"/>
    </font>
    <font>
      <i/>
      <sz val="11"/>
      <name val="Times New Roman Baltic"/>
      <family val="0"/>
    </font>
    <font>
      <b/>
      <sz val="11"/>
      <name val="Times New Roman Baltic"/>
      <family val="0"/>
    </font>
    <font>
      <sz val="10"/>
      <name val="Times New Roman Baltic"/>
      <family val="1"/>
    </font>
    <font>
      <b/>
      <sz val="11"/>
      <name val="Arial"/>
      <family val="2"/>
    </font>
    <font>
      <sz val="14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6" fillId="0" borderId="0" xfId="0" applyFont="1" applyAlignment="1">
      <alignment/>
    </xf>
    <xf numFmtId="0" fontId="2" fillId="0" borderId="16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3" fontId="12" fillId="0" borderId="12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2" fillId="0" borderId="17" xfId="0" applyNumberFormat="1" applyFont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 indent="1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wrapText="1"/>
    </xf>
    <xf numFmtId="0" fontId="12" fillId="0" borderId="0" xfId="0" applyFont="1" applyAlignment="1">
      <alignment/>
    </xf>
    <xf numFmtId="0" fontId="34" fillId="0" borderId="0" xfId="0" applyFont="1" applyAlignment="1">
      <alignment/>
    </xf>
    <xf numFmtId="3" fontId="13" fillId="0" borderId="12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3" fontId="35" fillId="0" borderId="24" xfId="0" applyNumberFormat="1" applyFont="1" applyBorder="1" applyAlignment="1">
      <alignment horizontal="center"/>
    </xf>
    <xf numFmtId="3" fontId="35" fillId="0" borderId="25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 wrapText="1"/>
    </xf>
    <xf numFmtId="3" fontId="35" fillId="0" borderId="27" xfId="0" applyNumberFormat="1" applyFont="1" applyBorder="1" applyAlignment="1">
      <alignment horizontal="center"/>
    </xf>
    <xf numFmtId="3" fontId="35" fillId="0" borderId="27" xfId="0" applyNumberFormat="1" applyFont="1" applyFill="1" applyBorder="1" applyAlignment="1">
      <alignment horizontal="center"/>
    </xf>
    <xf numFmtId="3" fontId="35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1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3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3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 wrapText="1"/>
    </xf>
    <xf numFmtId="3" fontId="3" fillId="7" borderId="34" xfId="0" applyNumberFormat="1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wrapText="1"/>
    </xf>
    <xf numFmtId="3" fontId="5" fillId="7" borderId="28" xfId="0" applyNumberFormat="1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 wrapText="1"/>
    </xf>
    <xf numFmtId="3" fontId="5" fillId="7" borderId="37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 wrapText="1"/>
    </xf>
    <xf numFmtId="3" fontId="5" fillId="7" borderId="25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 wrapText="1"/>
    </xf>
    <xf numFmtId="0" fontId="13" fillId="7" borderId="24" xfId="0" applyFont="1" applyFill="1" applyBorder="1" applyAlignment="1">
      <alignment horizontal="center" wrapText="1"/>
    </xf>
    <xf numFmtId="3" fontId="13" fillId="7" borderId="25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/>
    </xf>
    <xf numFmtId="0" fontId="3" fillId="7" borderId="24" xfId="0" applyFont="1" applyFill="1" applyBorder="1" applyAlignment="1">
      <alignment horizontal="center" wrapText="1"/>
    </xf>
    <xf numFmtId="3" fontId="3" fillId="7" borderId="25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/>
    </xf>
    <xf numFmtId="0" fontId="11" fillId="7" borderId="33" xfId="0" applyFont="1" applyFill="1" applyBorder="1" applyAlignment="1">
      <alignment horizontal="center" wrapText="1"/>
    </xf>
    <xf numFmtId="3" fontId="11" fillId="7" borderId="34" xfId="0" applyNumberFormat="1" applyFont="1" applyFill="1" applyBorder="1" applyAlignment="1">
      <alignment/>
    </xf>
    <xf numFmtId="0" fontId="13" fillId="11" borderId="32" xfId="0" applyFont="1" applyFill="1" applyBorder="1" applyAlignment="1">
      <alignment horizontal="center" wrapText="1"/>
    </xf>
    <xf numFmtId="0" fontId="13" fillId="11" borderId="33" xfId="0" applyFont="1" applyFill="1" applyBorder="1" applyAlignment="1">
      <alignment horizontal="center" wrapText="1"/>
    </xf>
    <xf numFmtId="0" fontId="13" fillId="11" borderId="34" xfId="0" applyFont="1" applyFill="1" applyBorder="1" applyAlignment="1">
      <alignment horizontal="center" wrapText="1"/>
    </xf>
    <xf numFmtId="0" fontId="13" fillId="7" borderId="38" xfId="0" applyFont="1" applyFill="1" applyBorder="1" applyAlignment="1">
      <alignment horizontal="center" wrapText="1"/>
    </xf>
    <xf numFmtId="0" fontId="13" fillId="7" borderId="13" xfId="0" applyFont="1" applyFill="1" applyBorder="1" applyAlignment="1">
      <alignment horizontal="center" wrapText="1"/>
    </xf>
    <xf numFmtId="0" fontId="13" fillId="7" borderId="39" xfId="0" applyFont="1" applyFill="1" applyBorder="1" applyAlignment="1">
      <alignment horizontal="center" wrapText="1"/>
    </xf>
    <xf numFmtId="0" fontId="13" fillId="7" borderId="10" xfId="0" applyFont="1" applyFill="1" applyBorder="1" applyAlignment="1">
      <alignment vertical="center" wrapText="1"/>
    </xf>
    <xf numFmtId="3" fontId="13" fillId="7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 indent="2"/>
    </xf>
    <xf numFmtId="0" fontId="14" fillId="0" borderId="10" xfId="0" applyFont="1" applyBorder="1" applyAlignment="1">
      <alignment horizontal="left" wrapText="1" indent="2"/>
    </xf>
    <xf numFmtId="0" fontId="6" fillId="0" borderId="15" xfId="0" applyFont="1" applyBorder="1" applyAlignment="1">
      <alignment horizontal="right" wrapText="1"/>
    </xf>
    <xf numFmtId="0" fontId="6" fillId="0" borderId="13" xfId="0" applyFont="1" applyBorder="1" applyAlignment="1">
      <alignment horizontal="left" wrapText="1" indent="2"/>
    </xf>
    <xf numFmtId="3" fontId="1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3" fontId="12" fillId="0" borderId="4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 indent="2"/>
    </xf>
    <xf numFmtId="3" fontId="1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41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3" fontId="1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185" fontId="4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39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1"/>
    </xf>
    <xf numFmtId="49" fontId="14" fillId="0" borderId="10" xfId="0" applyNumberFormat="1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vertical="center" wrapText="1"/>
    </xf>
    <xf numFmtId="0" fontId="37" fillId="24" borderId="32" xfId="0" applyFont="1" applyFill="1" applyBorder="1" applyAlignment="1">
      <alignment/>
    </xf>
    <xf numFmtId="0" fontId="35" fillId="24" borderId="33" xfId="0" applyFont="1" applyFill="1" applyBorder="1" applyAlignment="1">
      <alignment horizontal="center" wrapText="1"/>
    </xf>
    <xf numFmtId="3" fontId="35" fillId="24" borderId="33" xfId="0" applyNumberFormat="1" applyFont="1" applyFill="1" applyBorder="1" applyAlignment="1">
      <alignment horizontal="center"/>
    </xf>
    <xf numFmtId="3" fontId="35" fillId="24" borderId="34" xfId="0" applyNumberFormat="1" applyFont="1" applyFill="1" applyBorder="1" applyAlignment="1">
      <alignment horizontal="center"/>
    </xf>
    <xf numFmtId="0" fontId="11" fillId="0" borderId="41" xfId="0" applyFont="1" applyBorder="1" applyAlignment="1">
      <alignment/>
    </xf>
    <xf numFmtId="0" fontId="7" fillId="0" borderId="41" xfId="0" applyFont="1" applyBorder="1" applyAlignment="1">
      <alignment horizontal="right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0" xfId="0" applyFont="1" applyFill="1" applyBorder="1" applyAlignment="1">
      <alignment wrapText="1"/>
    </xf>
    <xf numFmtId="3" fontId="1" fillId="0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3" fontId="5" fillId="7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3" fontId="5" fillId="25" borderId="10" xfId="0" applyNumberFormat="1" applyFont="1" applyFill="1" applyBorder="1" applyAlignment="1">
      <alignment/>
    </xf>
    <xf numFmtId="0" fontId="13" fillId="11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3" fontId="41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7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2" fillId="7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3" fontId="40" fillId="0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7" borderId="43" xfId="0" applyFont="1" applyFill="1" applyBorder="1" applyAlignment="1">
      <alignment horizontal="center"/>
    </xf>
    <xf numFmtId="0" fontId="13" fillId="7" borderId="44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46" xfId="0" applyFont="1" applyFill="1" applyBorder="1" applyAlignment="1">
      <alignment horizontal="center" wrapText="1"/>
    </xf>
    <xf numFmtId="0" fontId="13" fillId="7" borderId="38" xfId="0" applyFont="1" applyFill="1" applyBorder="1" applyAlignment="1">
      <alignment horizontal="center" wrapText="1"/>
    </xf>
    <xf numFmtId="0" fontId="13" fillId="7" borderId="47" xfId="0" applyFont="1" applyFill="1" applyBorder="1" applyAlignment="1">
      <alignment horizontal="center" wrapText="1"/>
    </xf>
    <xf numFmtId="0" fontId="13" fillId="7" borderId="4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11" borderId="10" xfId="0" applyFont="1" applyFill="1" applyBorder="1" applyAlignment="1">
      <alignment horizontal="center"/>
    </xf>
    <xf numFmtId="0" fontId="43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wrapText="1"/>
    </xf>
    <xf numFmtId="0" fontId="43" fillId="11" borderId="10" xfId="0" applyFont="1" applyFill="1" applyBorder="1" applyAlignment="1">
      <alignment/>
    </xf>
    <xf numFmtId="0" fontId="13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2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Percent 3 2" xfId="71"/>
    <cellStyle name="Percent 4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12.140625" style="1" customWidth="1"/>
    <col min="2" max="2" width="69.7109375" style="1" customWidth="1"/>
    <col min="3" max="4" width="17.28125" style="1" customWidth="1"/>
    <col min="5" max="5" width="9.140625" style="1" customWidth="1"/>
    <col min="6" max="6" width="42.421875" style="1" customWidth="1"/>
    <col min="7" max="16384" width="9.140625" style="1" customWidth="1"/>
  </cols>
  <sheetData>
    <row r="1" spans="1:4" ht="15.75">
      <c r="A1" s="64" t="s">
        <v>182</v>
      </c>
      <c r="B1" s="64"/>
      <c r="C1" s="175" t="s">
        <v>87</v>
      </c>
      <c r="D1" s="13"/>
    </row>
    <row r="2" spans="1:4" ht="15.75">
      <c r="A2" s="64"/>
      <c r="B2" s="64"/>
      <c r="C2" s="175" t="s">
        <v>175</v>
      </c>
      <c r="D2" s="13"/>
    </row>
    <row r="3" spans="1:4" ht="15.75">
      <c r="A3" s="64"/>
      <c r="B3" s="64"/>
      <c r="C3" s="175" t="s">
        <v>441</v>
      </c>
      <c r="D3" s="13"/>
    </row>
    <row r="4" spans="1:4" ht="15.75">
      <c r="A4" s="64"/>
      <c r="B4" s="64"/>
      <c r="C4" s="133"/>
      <c r="D4" s="13"/>
    </row>
    <row r="5" spans="1:5" ht="20.25">
      <c r="A5" s="263" t="s">
        <v>440</v>
      </c>
      <c r="B5" s="263"/>
      <c r="C5" s="263"/>
      <c r="D5" s="96"/>
      <c r="E5" s="34"/>
    </row>
    <row r="6" spans="1:3" ht="18.75">
      <c r="A6" s="64"/>
      <c r="B6" s="124" t="s">
        <v>21</v>
      </c>
      <c r="C6" s="64"/>
    </row>
    <row r="7" spans="1:5" ht="16.5" thickBot="1">
      <c r="A7" s="64"/>
      <c r="B7" s="123"/>
      <c r="C7" s="134" t="s">
        <v>436</v>
      </c>
      <c r="D7" s="125"/>
      <c r="E7" s="126"/>
    </row>
    <row r="8" spans="1:5" s="67" customFormat="1" ht="30" thickBot="1">
      <c r="A8" s="156" t="s">
        <v>248</v>
      </c>
      <c r="B8" s="157" t="s">
        <v>139</v>
      </c>
      <c r="C8" s="158" t="s">
        <v>439</v>
      </c>
      <c r="D8" s="127"/>
      <c r="E8" s="128"/>
    </row>
    <row r="9" spans="1:5" ht="19.5" thickBot="1">
      <c r="A9" s="135"/>
      <c r="B9" s="136" t="s">
        <v>192</v>
      </c>
      <c r="C9" s="137">
        <f>C10+C19+C49+C57</f>
        <v>49096591</v>
      </c>
      <c r="D9" s="129"/>
      <c r="E9" s="126"/>
    </row>
    <row r="10" spans="1:5" ht="16.5" thickBot="1">
      <c r="A10" s="144"/>
      <c r="B10" s="145" t="s">
        <v>188</v>
      </c>
      <c r="C10" s="146">
        <f>C11+C14+C18</f>
        <v>36790764</v>
      </c>
      <c r="D10" s="104"/>
      <c r="E10" s="126"/>
    </row>
    <row r="11" spans="1:5" ht="16.5" thickTop="1">
      <c r="A11" s="53" t="s">
        <v>42</v>
      </c>
      <c r="B11" s="15" t="s">
        <v>22</v>
      </c>
      <c r="C11" s="36">
        <f>C12+C13</f>
        <v>32997587</v>
      </c>
      <c r="D11" s="104"/>
      <c r="E11" s="126"/>
    </row>
    <row r="12" spans="1:5" ht="31.5">
      <c r="A12" s="54" t="s">
        <v>222</v>
      </c>
      <c r="B12" s="164" t="s">
        <v>176</v>
      </c>
      <c r="C12" s="35">
        <v>349650</v>
      </c>
      <c r="D12" s="107"/>
      <c r="E12" s="126"/>
    </row>
    <row r="13" spans="1:5" ht="31.5">
      <c r="A13" s="54" t="s">
        <v>225</v>
      </c>
      <c r="B13" s="164" t="s">
        <v>177</v>
      </c>
      <c r="C13" s="35">
        <v>32647937</v>
      </c>
      <c r="D13" s="107"/>
      <c r="E13" s="126"/>
    </row>
    <row r="14" spans="1:5" ht="15.75">
      <c r="A14" s="14" t="s">
        <v>249</v>
      </c>
      <c r="B14" s="3" t="s">
        <v>23</v>
      </c>
      <c r="C14" s="37">
        <f>C15+C16+C17</f>
        <v>3537060</v>
      </c>
      <c r="D14" s="104"/>
      <c r="E14" s="126"/>
    </row>
    <row r="15" spans="1:5" ht="15.75">
      <c r="A15" s="54" t="s">
        <v>250</v>
      </c>
      <c r="B15" s="164" t="s">
        <v>24</v>
      </c>
      <c r="C15" s="38">
        <v>1318171</v>
      </c>
      <c r="D15" s="107"/>
      <c r="E15" s="126"/>
    </row>
    <row r="16" spans="1:5" ht="15.75">
      <c r="A16" s="172" t="s">
        <v>251</v>
      </c>
      <c r="B16" s="173" t="s">
        <v>140</v>
      </c>
      <c r="C16" s="174">
        <v>1483108</v>
      </c>
      <c r="D16" s="107"/>
      <c r="E16" s="126"/>
    </row>
    <row r="17" spans="1:5" ht="15.75">
      <c r="A17" s="172" t="s">
        <v>252</v>
      </c>
      <c r="B17" s="173" t="s">
        <v>220</v>
      </c>
      <c r="C17" s="174">
        <v>735781</v>
      </c>
      <c r="D17" s="107"/>
      <c r="E17" s="126"/>
    </row>
    <row r="18" spans="1:5" ht="15.75">
      <c r="A18" s="55" t="s">
        <v>253</v>
      </c>
      <c r="B18" s="3" t="s">
        <v>0</v>
      </c>
      <c r="C18" s="37">
        <v>256117</v>
      </c>
      <c r="D18" s="104"/>
      <c r="E18" s="126"/>
    </row>
    <row r="19" spans="1:5" ht="16.5" thickBot="1">
      <c r="A19" s="141"/>
      <c r="B19" s="142" t="s">
        <v>189</v>
      </c>
      <c r="C19" s="143">
        <f>C20+C22+C36+C39+C46</f>
        <v>335808</v>
      </c>
      <c r="D19" s="104"/>
      <c r="E19" s="126"/>
    </row>
    <row r="20" spans="1:5" ht="16.5" thickTop="1">
      <c r="A20" s="56" t="s">
        <v>37</v>
      </c>
      <c r="B20" s="15" t="s">
        <v>25</v>
      </c>
      <c r="C20" s="36">
        <f>C21</f>
        <v>950</v>
      </c>
      <c r="D20" s="104"/>
      <c r="E20" s="126"/>
    </row>
    <row r="21" spans="1:5" ht="15.75">
      <c r="A21" s="54" t="s">
        <v>254</v>
      </c>
      <c r="B21" s="164" t="s">
        <v>141</v>
      </c>
      <c r="C21" s="38">
        <v>950</v>
      </c>
      <c r="D21" s="107"/>
      <c r="E21" s="126"/>
    </row>
    <row r="22" spans="1:5" ht="15.75">
      <c r="A22" s="14" t="s">
        <v>38</v>
      </c>
      <c r="B22" s="3" t="s">
        <v>26</v>
      </c>
      <c r="C22" s="37">
        <f>C23+C28</f>
        <v>70650</v>
      </c>
      <c r="D22" s="104"/>
      <c r="E22" s="126"/>
    </row>
    <row r="23" spans="1:5" ht="15.75">
      <c r="A23" s="51" t="s">
        <v>255</v>
      </c>
      <c r="B23" s="52" t="s">
        <v>1</v>
      </c>
      <c r="C23" s="37">
        <f>SUM(C25+C26+C27+C24)</f>
        <v>21000</v>
      </c>
      <c r="D23" s="104"/>
      <c r="E23" s="126"/>
    </row>
    <row r="24" spans="1:4" ht="31.5">
      <c r="A24" s="54" t="s">
        <v>256</v>
      </c>
      <c r="B24" s="164" t="s">
        <v>332</v>
      </c>
      <c r="C24" s="38">
        <v>2000</v>
      </c>
      <c r="D24" s="98"/>
    </row>
    <row r="25" spans="1:4" ht="31.5">
      <c r="A25" s="54" t="s">
        <v>257</v>
      </c>
      <c r="B25" s="164" t="s">
        <v>142</v>
      </c>
      <c r="C25" s="39">
        <v>8000</v>
      </c>
      <c r="D25" s="99"/>
    </row>
    <row r="26" spans="1:4" ht="15.75" hidden="1">
      <c r="A26" s="54" t="s">
        <v>258</v>
      </c>
      <c r="B26" s="164" t="s">
        <v>143</v>
      </c>
      <c r="C26" s="39"/>
      <c r="D26" s="99"/>
    </row>
    <row r="27" spans="1:4" ht="15.75">
      <c r="A27" s="54" t="s">
        <v>259</v>
      </c>
      <c r="B27" s="164" t="s">
        <v>178</v>
      </c>
      <c r="C27" s="39">
        <v>11000</v>
      </c>
      <c r="D27" s="99"/>
    </row>
    <row r="28" spans="1:4" ht="15.75">
      <c r="A28" s="51" t="s">
        <v>260</v>
      </c>
      <c r="B28" s="52" t="s">
        <v>2</v>
      </c>
      <c r="C28" s="37">
        <f>SUM(C29+C30+C31+C32+C33+C34+C35)</f>
        <v>49650</v>
      </c>
      <c r="D28" s="97"/>
    </row>
    <row r="29" spans="1:4" ht="31.5">
      <c r="A29" s="54" t="s">
        <v>94</v>
      </c>
      <c r="B29" s="164" t="s">
        <v>380</v>
      </c>
      <c r="C29" s="39">
        <v>26000</v>
      </c>
      <c r="D29" s="99"/>
    </row>
    <row r="30" spans="1:4" ht="31.5">
      <c r="A30" s="54" t="s">
        <v>95</v>
      </c>
      <c r="B30" s="164" t="s">
        <v>144</v>
      </c>
      <c r="C30" s="39">
        <v>350</v>
      </c>
      <c r="D30" s="99"/>
    </row>
    <row r="31" spans="1:4" ht="15.75">
      <c r="A31" s="54" t="s">
        <v>114</v>
      </c>
      <c r="B31" s="164" t="s">
        <v>145</v>
      </c>
      <c r="C31" s="39">
        <v>3000</v>
      </c>
      <c r="D31" s="99"/>
    </row>
    <row r="32" spans="1:4" ht="15.75">
      <c r="A32" s="54" t="s">
        <v>261</v>
      </c>
      <c r="B32" s="164" t="s">
        <v>146</v>
      </c>
      <c r="C32" s="39">
        <v>300</v>
      </c>
      <c r="D32" s="99"/>
    </row>
    <row r="33" spans="1:4" ht="31.5">
      <c r="A33" s="54" t="s">
        <v>262</v>
      </c>
      <c r="B33" s="164" t="s">
        <v>147</v>
      </c>
      <c r="C33" s="39">
        <v>6500</v>
      </c>
      <c r="D33" s="99"/>
    </row>
    <row r="34" spans="1:4" ht="15.75">
      <c r="A34" s="54" t="s">
        <v>244</v>
      </c>
      <c r="B34" s="164" t="s">
        <v>148</v>
      </c>
      <c r="C34" s="39">
        <v>11000</v>
      </c>
      <c r="D34" s="99"/>
    </row>
    <row r="35" spans="1:4" ht="15.75">
      <c r="A35" s="54" t="s">
        <v>334</v>
      </c>
      <c r="B35" s="164" t="s">
        <v>381</v>
      </c>
      <c r="C35" s="39">
        <v>2500</v>
      </c>
      <c r="D35" s="99"/>
    </row>
    <row r="36" spans="1:4" ht="15.75">
      <c r="A36" s="14" t="s">
        <v>39</v>
      </c>
      <c r="B36" s="3" t="s">
        <v>3</v>
      </c>
      <c r="C36" s="37">
        <f>SUM(C37+C38)</f>
        <v>207000</v>
      </c>
      <c r="D36" s="97"/>
    </row>
    <row r="37" spans="1:4" ht="15.75">
      <c r="A37" s="57" t="s">
        <v>263</v>
      </c>
      <c r="B37" s="164" t="s">
        <v>149</v>
      </c>
      <c r="C37" s="38">
        <v>115000</v>
      </c>
      <c r="D37" s="98"/>
    </row>
    <row r="38" spans="1:4" ht="15.75">
      <c r="A38" s="57" t="s">
        <v>264</v>
      </c>
      <c r="B38" s="164" t="s">
        <v>150</v>
      </c>
      <c r="C38" s="38">
        <v>92000</v>
      </c>
      <c r="D38" s="98"/>
    </row>
    <row r="39" spans="1:4" ht="15.75">
      <c r="A39" s="14" t="s">
        <v>265</v>
      </c>
      <c r="B39" s="3" t="s">
        <v>4</v>
      </c>
      <c r="C39" s="37">
        <f>C40+C44</f>
        <v>28197</v>
      </c>
      <c r="D39" s="97"/>
    </row>
    <row r="40" spans="1:4" ht="15.75">
      <c r="A40" s="51" t="s">
        <v>266</v>
      </c>
      <c r="B40" s="52" t="s">
        <v>155</v>
      </c>
      <c r="C40" s="37">
        <f>C41+C43+C42</f>
        <v>26797</v>
      </c>
      <c r="D40" s="97"/>
    </row>
    <row r="41" spans="1:4" ht="15.75">
      <c r="A41" s="54" t="s">
        <v>267</v>
      </c>
      <c r="B41" s="164" t="s">
        <v>382</v>
      </c>
      <c r="C41" s="38">
        <v>24313</v>
      </c>
      <c r="D41" s="98"/>
    </row>
    <row r="42" spans="1:4" ht="15.75">
      <c r="A42" s="54" t="s">
        <v>268</v>
      </c>
      <c r="B42" s="164" t="s">
        <v>221</v>
      </c>
      <c r="C42" s="38">
        <v>0</v>
      </c>
      <c r="D42" s="98"/>
    </row>
    <row r="43" spans="1:4" ht="15.75">
      <c r="A43" s="54" t="s">
        <v>269</v>
      </c>
      <c r="B43" s="164" t="s">
        <v>383</v>
      </c>
      <c r="C43" s="38">
        <v>2484</v>
      </c>
      <c r="D43" s="98"/>
    </row>
    <row r="44" spans="1:4" ht="15.75">
      <c r="A44" s="58" t="s">
        <v>270</v>
      </c>
      <c r="B44" s="52" t="s">
        <v>236</v>
      </c>
      <c r="C44" s="37">
        <f>C45</f>
        <v>1400</v>
      </c>
      <c r="D44" s="97"/>
    </row>
    <row r="45" spans="1:4" ht="30">
      <c r="A45" s="54" t="s">
        <v>271</v>
      </c>
      <c r="B45" s="165" t="s">
        <v>194</v>
      </c>
      <c r="C45" s="38">
        <v>1400</v>
      </c>
      <c r="D45" s="98"/>
    </row>
    <row r="46" spans="1:4" ht="31.5">
      <c r="A46" s="14" t="s">
        <v>272</v>
      </c>
      <c r="B46" s="3" t="s">
        <v>151</v>
      </c>
      <c r="C46" s="37">
        <f>C47+C48</f>
        <v>29011</v>
      </c>
      <c r="D46" s="97"/>
    </row>
    <row r="47" spans="1:4" ht="15.75">
      <c r="A47" s="54" t="s">
        <v>273</v>
      </c>
      <c r="B47" s="164" t="s">
        <v>5</v>
      </c>
      <c r="C47" s="38">
        <v>3139</v>
      </c>
      <c r="D47" s="98"/>
    </row>
    <row r="48" spans="1:4" ht="15.75">
      <c r="A48" s="54" t="s">
        <v>274</v>
      </c>
      <c r="B48" s="164" t="s">
        <v>6</v>
      </c>
      <c r="C48" s="38">
        <v>25872</v>
      </c>
      <c r="D48" s="98"/>
    </row>
    <row r="49" spans="1:5" ht="16.5" thickBot="1">
      <c r="A49" s="138"/>
      <c r="B49" s="139" t="s">
        <v>190</v>
      </c>
      <c r="C49" s="140">
        <f>C50+C55</f>
        <v>10732027</v>
      </c>
      <c r="D49" s="104"/>
      <c r="E49" s="106"/>
    </row>
    <row r="50" spans="1:5" ht="16.5" thickTop="1">
      <c r="A50" s="56" t="s">
        <v>275</v>
      </c>
      <c r="B50" s="15" t="s">
        <v>27</v>
      </c>
      <c r="C50" s="36">
        <f>C51</f>
        <v>9951659</v>
      </c>
      <c r="D50" s="104"/>
      <c r="E50" s="106"/>
    </row>
    <row r="51" spans="1:5" ht="15.75">
      <c r="A51" s="51" t="s">
        <v>276</v>
      </c>
      <c r="B51" s="52" t="s">
        <v>309</v>
      </c>
      <c r="C51" s="37">
        <f>C52+C53+C54</f>
        <v>9951659</v>
      </c>
      <c r="D51" s="104"/>
      <c r="E51" s="106"/>
    </row>
    <row r="52" spans="1:5" ht="15.75">
      <c r="A52" s="10" t="s">
        <v>277</v>
      </c>
      <c r="B52" s="164" t="s">
        <v>308</v>
      </c>
      <c r="C52" s="38">
        <f>7164904+12904+66641+10000</f>
        <v>7254449</v>
      </c>
      <c r="D52" s="107"/>
      <c r="E52" s="106"/>
    </row>
    <row r="53" spans="1:5" ht="45">
      <c r="A53" s="10" t="s">
        <v>278</v>
      </c>
      <c r="B53" s="165" t="s">
        <v>310</v>
      </c>
      <c r="C53" s="38">
        <f>37000+376412+2303798-20000</f>
        <v>2697210</v>
      </c>
      <c r="D53" s="107"/>
      <c r="E53" s="106"/>
    </row>
    <row r="54" spans="1:5" ht="15.75" hidden="1">
      <c r="A54" s="10" t="s">
        <v>279</v>
      </c>
      <c r="B54" s="164" t="s">
        <v>311</v>
      </c>
      <c r="C54" s="38"/>
      <c r="D54" s="107"/>
      <c r="E54" s="106"/>
    </row>
    <row r="55" spans="1:5" ht="15.75">
      <c r="A55" s="59" t="s">
        <v>280</v>
      </c>
      <c r="B55" s="3" t="s">
        <v>152</v>
      </c>
      <c r="C55" s="37">
        <f>SUM(C56)</f>
        <v>780368</v>
      </c>
      <c r="D55" s="104"/>
      <c r="E55" s="106"/>
    </row>
    <row r="56" spans="1:5" ht="16.5" thickBot="1">
      <c r="A56" s="166" t="s">
        <v>281</v>
      </c>
      <c r="B56" s="167" t="s">
        <v>312</v>
      </c>
      <c r="C56" s="168">
        <v>780368</v>
      </c>
      <c r="D56" s="104"/>
      <c r="E56" s="106"/>
    </row>
    <row r="57" spans="1:9" s="33" customFormat="1" ht="16.5" thickBot="1">
      <c r="A57" s="147"/>
      <c r="B57" s="148" t="s">
        <v>195</v>
      </c>
      <c r="C57" s="149">
        <f>SUM(C58)</f>
        <v>1237992</v>
      </c>
      <c r="D57" s="105"/>
      <c r="E57" s="108"/>
      <c r="F57" s="130"/>
      <c r="G57" s="130"/>
      <c r="H57" s="130"/>
      <c r="I57" s="130"/>
    </row>
    <row r="58" spans="1:9" ht="16.5" thickTop="1">
      <c r="A58" s="60" t="s">
        <v>282</v>
      </c>
      <c r="B58" s="66" t="s">
        <v>283</v>
      </c>
      <c r="C58" s="40">
        <f>C59+C60+C66</f>
        <v>1237992</v>
      </c>
      <c r="D58" s="97"/>
      <c r="E58" s="64"/>
      <c r="F58" s="131"/>
      <c r="G58" s="98"/>
      <c r="H58" s="64"/>
      <c r="I58" s="64"/>
    </row>
    <row r="59" spans="1:9" ht="15.75">
      <c r="A59" s="257" t="s">
        <v>466</v>
      </c>
      <c r="B59" s="248" t="s">
        <v>467</v>
      </c>
      <c r="C59" s="36">
        <v>4315</v>
      </c>
      <c r="D59" s="97"/>
      <c r="E59" s="64"/>
      <c r="F59" s="131"/>
      <c r="G59" s="98"/>
      <c r="H59" s="64"/>
      <c r="I59" s="64"/>
    </row>
    <row r="60" spans="1:9" ht="31.5">
      <c r="A60" s="61" t="s">
        <v>284</v>
      </c>
      <c r="B60" s="65" t="s">
        <v>20</v>
      </c>
      <c r="C60" s="36">
        <f>C61+C62+C63+C64+C65</f>
        <v>1193696</v>
      </c>
      <c r="D60" s="97"/>
      <c r="E60" s="64"/>
      <c r="F60" s="131"/>
      <c r="G60" s="98"/>
      <c r="H60" s="64"/>
      <c r="I60" s="64"/>
    </row>
    <row r="61" spans="1:9" ht="31.5">
      <c r="A61" s="54" t="s">
        <v>285</v>
      </c>
      <c r="B61" s="164" t="s">
        <v>153</v>
      </c>
      <c r="C61" s="38">
        <v>0</v>
      </c>
      <c r="D61" s="98"/>
      <c r="E61" s="64"/>
      <c r="F61" s="131"/>
      <c r="G61" s="98"/>
      <c r="H61" s="64"/>
      <c r="I61" s="64"/>
    </row>
    <row r="62" spans="1:9" ht="15.75">
      <c r="A62" s="54" t="s">
        <v>286</v>
      </c>
      <c r="B62" s="164" t="s">
        <v>7</v>
      </c>
      <c r="C62" s="38">
        <v>245802</v>
      </c>
      <c r="D62" s="98"/>
      <c r="E62" s="64"/>
      <c r="F62" s="130"/>
      <c r="G62" s="132"/>
      <c r="H62" s="64"/>
      <c r="I62" s="64"/>
    </row>
    <row r="63" spans="1:9" ht="15.75">
      <c r="A63" s="54" t="s">
        <v>287</v>
      </c>
      <c r="B63" s="164" t="s">
        <v>8</v>
      </c>
      <c r="C63" s="38">
        <v>720</v>
      </c>
      <c r="D63" s="98"/>
      <c r="E63" s="64"/>
      <c r="F63" s="64"/>
      <c r="G63" s="64"/>
      <c r="H63" s="64"/>
      <c r="I63" s="64"/>
    </row>
    <row r="64" spans="1:9" ht="15.75">
      <c r="A64" s="54" t="s">
        <v>288</v>
      </c>
      <c r="B64" s="164" t="s">
        <v>9</v>
      </c>
      <c r="C64" s="38">
        <v>383752</v>
      </c>
      <c r="D64" s="98"/>
      <c r="E64" s="64"/>
      <c r="F64" s="64"/>
      <c r="G64" s="64"/>
      <c r="H64" s="64"/>
      <c r="I64" s="64"/>
    </row>
    <row r="65" spans="1:9" ht="31.5">
      <c r="A65" s="54" t="s">
        <v>289</v>
      </c>
      <c r="B65" s="164" t="s">
        <v>154</v>
      </c>
      <c r="C65" s="38">
        <v>563422</v>
      </c>
      <c r="D65" s="98"/>
      <c r="E65" s="64"/>
      <c r="F65" s="64"/>
      <c r="G65" s="64"/>
      <c r="H65" s="64"/>
      <c r="I65" s="64"/>
    </row>
    <row r="66" spans="1:9" ht="16.5" thickBot="1">
      <c r="A66" s="62" t="s">
        <v>384</v>
      </c>
      <c r="B66" s="16" t="s">
        <v>313</v>
      </c>
      <c r="C66" s="41">
        <v>39981</v>
      </c>
      <c r="D66" s="97"/>
      <c r="E66" s="64"/>
      <c r="F66" s="64"/>
      <c r="G66" s="64"/>
      <c r="H66" s="64"/>
      <c r="I66" s="64"/>
    </row>
    <row r="67" spans="1:6" ht="19.5" thickBot="1">
      <c r="A67" s="150"/>
      <c r="B67" s="151" t="s">
        <v>191</v>
      </c>
      <c r="C67" s="152">
        <f>SUM(C68:C69)</f>
        <v>7807663</v>
      </c>
      <c r="D67" s="100"/>
      <c r="F67" s="89"/>
    </row>
    <row r="68" spans="1:4" ht="16.5" thickTop="1">
      <c r="A68" s="63" t="s">
        <v>196</v>
      </c>
      <c r="B68" s="19" t="s">
        <v>197</v>
      </c>
      <c r="C68" s="184">
        <v>3516001</v>
      </c>
      <c r="D68" s="98"/>
    </row>
    <row r="69" spans="1:4" ht="16.5" thickBot="1">
      <c r="A69" s="210" t="s">
        <v>18</v>
      </c>
      <c r="B69" s="211" t="s">
        <v>19</v>
      </c>
      <c r="C69" s="212">
        <v>4291662</v>
      </c>
      <c r="D69" s="98"/>
    </row>
    <row r="70" spans="1:4" ht="21" thickBot="1">
      <c r="A70" s="153"/>
      <c r="B70" s="154" t="s">
        <v>193</v>
      </c>
      <c r="C70" s="155">
        <f>C9+C67</f>
        <v>56904254</v>
      </c>
      <c r="D70" s="101"/>
    </row>
    <row r="71" spans="1:4" ht="18.75">
      <c r="A71" s="64"/>
      <c r="B71" s="5"/>
      <c r="C71" s="6"/>
      <c r="D71" s="6"/>
    </row>
    <row r="72" spans="1:4" ht="20.25">
      <c r="A72" s="4" t="s">
        <v>28</v>
      </c>
      <c r="B72" s="17"/>
      <c r="C72" s="12" t="s">
        <v>29</v>
      </c>
      <c r="D72" s="12"/>
    </row>
    <row r="79" spans="2:4" ht="15.75">
      <c r="B79" s="95"/>
      <c r="C79" s="89"/>
      <c r="D79" s="89"/>
    </row>
  </sheetData>
  <sheetProtection/>
  <mergeCells count="1">
    <mergeCell ref="A5:C5"/>
  </mergeCells>
  <printOptions/>
  <pageMargins left="0.7480314960629921" right="0.1968503937007874" top="0.7086614173228347" bottom="0.4724409448818898" header="0.5118110236220472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3.00390625" style="0" customWidth="1"/>
    <col min="4" max="4" width="14.7109375" style="0" customWidth="1"/>
    <col min="5" max="5" width="12.00390625" style="0" customWidth="1"/>
    <col min="6" max="6" width="14.140625" style="0" customWidth="1"/>
    <col min="7" max="7" width="12.00390625" style="0" customWidth="1"/>
    <col min="8" max="8" width="13.00390625" style="0" customWidth="1"/>
    <col min="9" max="9" width="14.421875" style="0" customWidth="1"/>
  </cols>
  <sheetData>
    <row r="1" spans="1:8" ht="15.75">
      <c r="A1" s="2" t="s">
        <v>182</v>
      </c>
      <c r="B1" s="2"/>
      <c r="C1" s="2"/>
      <c r="D1" s="2"/>
      <c r="E1" s="2"/>
      <c r="F1" s="2"/>
      <c r="G1" s="2"/>
      <c r="H1" s="11" t="s">
        <v>184</v>
      </c>
    </row>
    <row r="2" spans="1:8" ht="15">
      <c r="A2" s="2"/>
      <c r="B2" s="2"/>
      <c r="C2" s="2"/>
      <c r="D2" s="2"/>
      <c r="E2" s="2"/>
      <c r="F2" s="2"/>
      <c r="G2" s="2"/>
      <c r="H2" s="13" t="s">
        <v>166</v>
      </c>
    </row>
    <row r="3" spans="1:8" ht="15">
      <c r="A3" s="2"/>
      <c r="B3" s="2"/>
      <c r="C3" s="2"/>
      <c r="D3" s="2"/>
      <c r="E3" s="2"/>
      <c r="F3" s="2"/>
      <c r="G3" s="2"/>
      <c r="H3" s="13" t="s">
        <v>446</v>
      </c>
    </row>
    <row r="4" spans="1:8" ht="20.25">
      <c r="A4" s="264" t="s">
        <v>443</v>
      </c>
      <c r="B4" s="264"/>
      <c r="C4" s="264"/>
      <c r="D4" s="264"/>
      <c r="E4" s="264"/>
      <c r="F4" s="264"/>
      <c r="G4" s="264"/>
      <c r="H4" s="264"/>
    </row>
    <row r="5" spans="1:8" ht="20.25">
      <c r="A5" s="272" t="s">
        <v>438</v>
      </c>
      <c r="B5" s="272"/>
      <c r="C5" s="272"/>
      <c r="D5" s="272"/>
      <c r="E5" s="272"/>
      <c r="F5" s="272"/>
      <c r="G5" s="272"/>
      <c r="H5" s="272"/>
    </row>
    <row r="6" spans="1:8" ht="21" thickBot="1">
      <c r="A6" s="206"/>
      <c r="B6" s="206"/>
      <c r="C6" s="206"/>
      <c r="D6" s="206"/>
      <c r="E6" s="206"/>
      <c r="F6" s="206"/>
      <c r="G6" s="206"/>
      <c r="H6" s="207" t="s">
        <v>436</v>
      </c>
    </row>
    <row r="7" spans="1:8" s="68" customFormat="1" ht="14.25">
      <c r="A7" s="270" t="s">
        <v>248</v>
      </c>
      <c r="B7" s="268" t="s">
        <v>31</v>
      </c>
      <c r="C7" s="268" t="s">
        <v>444</v>
      </c>
      <c r="D7" s="265" t="s">
        <v>57</v>
      </c>
      <c r="E7" s="266"/>
      <c r="F7" s="266"/>
      <c r="G7" s="266"/>
      <c r="H7" s="267"/>
    </row>
    <row r="8" spans="1:8" s="68" customFormat="1" ht="72" thickBot="1">
      <c r="A8" s="271"/>
      <c r="B8" s="269"/>
      <c r="C8" s="269"/>
      <c r="D8" s="159" t="s">
        <v>291</v>
      </c>
      <c r="E8" s="160" t="s">
        <v>292</v>
      </c>
      <c r="F8" s="159" t="s">
        <v>27</v>
      </c>
      <c r="G8" s="160" t="s">
        <v>294</v>
      </c>
      <c r="H8" s="161" t="s">
        <v>442</v>
      </c>
    </row>
    <row r="9" spans="1:8" s="74" customFormat="1" ht="38.25" customHeight="1" thickBot="1">
      <c r="A9" s="76"/>
      <c r="B9" s="77" t="s">
        <v>30</v>
      </c>
      <c r="C9" s="78">
        <f aca="true" t="shared" si="0" ref="C9:H9">C10+C11+C12+C13+C14+C16+C17+C18+C15</f>
        <v>50031255</v>
      </c>
      <c r="D9" s="78">
        <f t="shared" si="0"/>
        <v>39157769</v>
      </c>
      <c r="E9" s="79">
        <f t="shared" si="0"/>
        <v>1276692</v>
      </c>
      <c r="F9" s="79">
        <f t="shared" si="0"/>
        <v>7597957</v>
      </c>
      <c r="G9" s="79">
        <f t="shared" si="0"/>
        <v>780368</v>
      </c>
      <c r="H9" s="80">
        <f t="shared" si="0"/>
        <v>1218469</v>
      </c>
    </row>
    <row r="10" spans="1:10" ht="15.75" thickTop="1">
      <c r="A10" s="23" t="s">
        <v>32</v>
      </c>
      <c r="B10" s="24" t="s">
        <v>10</v>
      </c>
      <c r="C10" s="69">
        <f>D10+E10+F10+G10+H10</f>
        <v>5637658</v>
      </c>
      <c r="D10" s="43">
        <f>'3.pielikums'!D10</f>
        <v>4734921</v>
      </c>
      <c r="E10" s="43">
        <f>'3.pielikums'!E10</f>
        <v>91015</v>
      </c>
      <c r="F10" s="43">
        <f>'3.pielikums'!F10</f>
        <v>0</v>
      </c>
      <c r="G10" s="43">
        <f>'3.pielikums'!G10</f>
        <v>713100</v>
      </c>
      <c r="H10" s="48">
        <f>'3.pielikums'!H10</f>
        <v>98622</v>
      </c>
      <c r="J10" s="47"/>
    </row>
    <row r="11" spans="1:8" ht="15">
      <c r="A11" s="26" t="s">
        <v>33</v>
      </c>
      <c r="B11" s="20" t="s">
        <v>12</v>
      </c>
      <c r="C11" s="69">
        <f aca="true" t="shared" si="1" ref="C11:C24">D11+E11+F11+G11+H11</f>
        <v>2626236</v>
      </c>
      <c r="D11" s="44">
        <f>'3.pielikums'!D25</f>
        <v>2413221</v>
      </c>
      <c r="E11" s="44">
        <f>'3.pielikums'!E25</f>
        <v>180300</v>
      </c>
      <c r="F11" s="44">
        <f>'3.pielikums'!F25</f>
        <v>0</v>
      </c>
      <c r="G11" s="50">
        <f>'3.pielikums'!G25</f>
        <v>0</v>
      </c>
      <c r="H11" s="45">
        <f>'3.pielikums'!H25</f>
        <v>32715</v>
      </c>
    </row>
    <row r="12" spans="1:8" ht="15">
      <c r="A12" s="26" t="s">
        <v>34</v>
      </c>
      <c r="B12" s="20" t="s">
        <v>13</v>
      </c>
      <c r="C12" s="69">
        <f t="shared" si="1"/>
        <v>5487665</v>
      </c>
      <c r="D12" s="44">
        <f>'3.pielikums'!D30</f>
        <v>4992424</v>
      </c>
      <c r="E12" s="44">
        <f>'3.pielikums'!E30</f>
        <v>84863</v>
      </c>
      <c r="F12" s="44">
        <f>'3.pielikums'!F30</f>
        <v>0</v>
      </c>
      <c r="G12" s="50">
        <f>'3.pielikums'!G30</f>
        <v>39840</v>
      </c>
      <c r="H12" s="45">
        <f>'3.pielikums'!H30</f>
        <v>370538</v>
      </c>
    </row>
    <row r="13" spans="1:8" ht="15">
      <c r="A13" s="26" t="s">
        <v>35</v>
      </c>
      <c r="B13" s="20" t="s">
        <v>14</v>
      </c>
      <c r="C13" s="69">
        <f t="shared" si="1"/>
        <v>1448310</v>
      </c>
      <c r="D13" s="44">
        <f>'3.pielikums'!D51</f>
        <v>1448310</v>
      </c>
      <c r="E13" s="44">
        <f>'3.pielikums'!E51</f>
        <v>0</v>
      </c>
      <c r="F13" s="44">
        <f>'3.pielikums'!F51</f>
        <v>0</v>
      </c>
      <c r="G13" s="50">
        <f>'3.pielikums'!G51</f>
        <v>0</v>
      </c>
      <c r="H13" s="45">
        <f>'3.pielikums'!H51</f>
        <v>0</v>
      </c>
    </row>
    <row r="14" spans="1:8" ht="15">
      <c r="A14" s="26" t="s">
        <v>36</v>
      </c>
      <c r="B14" s="20" t="s">
        <v>198</v>
      </c>
      <c r="C14" s="69">
        <f t="shared" si="1"/>
        <v>2950490</v>
      </c>
      <c r="D14" s="44">
        <f>'3.pielikums'!D59</f>
        <v>2823373</v>
      </c>
      <c r="E14" s="44">
        <f>'3.pielikums'!E59</f>
        <v>116700</v>
      </c>
      <c r="F14" s="44">
        <f>'3.pielikums'!F59</f>
        <v>10000</v>
      </c>
      <c r="G14" s="50">
        <f>'3.pielikums'!G59</f>
        <v>0</v>
      </c>
      <c r="H14" s="45">
        <f>'3.pielikums'!H59</f>
        <v>417</v>
      </c>
    </row>
    <row r="15" spans="1:8" ht="15">
      <c r="A15" s="26" t="s">
        <v>180</v>
      </c>
      <c r="B15" s="20" t="s">
        <v>181</v>
      </c>
      <c r="C15" s="69">
        <f t="shared" si="1"/>
        <v>99145</v>
      </c>
      <c r="D15" s="44">
        <f>'3.pielikums'!D68</f>
        <v>99145</v>
      </c>
      <c r="E15" s="44">
        <f>'3.pielikums'!E68</f>
        <v>0</v>
      </c>
      <c r="F15" s="44">
        <f>'3.pielikums'!F68</f>
        <v>0</v>
      </c>
      <c r="G15" s="50">
        <f>'3.pielikums'!G68</f>
        <v>0</v>
      </c>
      <c r="H15" s="45">
        <f>'3.pielikums'!H68</f>
        <v>0</v>
      </c>
    </row>
    <row r="16" spans="1:8" ht="15">
      <c r="A16" s="26" t="s">
        <v>37</v>
      </c>
      <c r="B16" s="20" t="s">
        <v>15</v>
      </c>
      <c r="C16" s="69">
        <f t="shared" si="1"/>
        <v>5367510</v>
      </c>
      <c r="D16" s="44">
        <f>'3.pielikums'!D74</f>
        <v>4887584</v>
      </c>
      <c r="E16" s="44">
        <f>'3.pielikums'!E74</f>
        <v>342796</v>
      </c>
      <c r="F16" s="44">
        <f>'3.pielikums'!F74</f>
        <v>15827</v>
      </c>
      <c r="G16" s="50">
        <f>'3.pielikums'!G74</f>
        <v>18488</v>
      </c>
      <c r="H16" s="45">
        <f>'3.pielikums'!H74</f>
        <v>102815</v>
      </c>
    </row>
    <row r="17" spans="1:8" ht="15">
      <c r="A17" s="26" t="s">
        <v>38</v>
      </c>
      <c r="B17" s="20" t="s">
        <v>16</v>
      </c>
      <c r="C17" s="69">
        <f t="shared" si="1"/>
        <v>21892189</v>
      </c>
      <c r="D17" s="44">
        <f>'3.pielikums'!D100</f>
        <v>13576087</v>
      </c>
      <c r="E17" s="44">
        <f>'3.pielikums'!E100</f>
        <v>420141</v>
      </c>
      <c r="F17" s="44">
        <f>'3.pielikums'!F100</f>
        <v>7295840</v>
      </c>
      <c r="G17" s="44">
        <f>'3.pielikums'!G100</f>
        <v>8940</v>
      </c>
      <c r="H17" s="45">
        <f>'3.pielikums'!H100</f>
        <v>591181</v>
      </c>
    </row>
    <row r="18" spans="1:8" ht="15.75" thickBot="1">
      <c r="A18" s="27" t="s">
        <v>39</v>
      </c>
      <c r="B18" s="28" t="s">
        <v>17</v>
      </c>
      <c r="C18" s="69">
        <f t="shared" si="1"/>
        <v>4522052</v>
      </c>
      <c r="D18" s="46">
        <f>'3.pielikums'!D131</f>
        <v>4182704</v>
      </c>
      <c r="E18" s="46">
        <f>'3.pielikums'!E131</f>
        <v>40877</v>
      </c>
      <c r="F18" s="46">
        <f>'3.pielikums'!F131</f>
        <v>276290</v>
      </c>
      <c r="G18" s="46">
        <f>'3.pielikums'!G131</f>
        <v>0</v>
      </c>
      <c r="H18" s="49">
        <f>'3.pielikums'!H131</f>
        <v>22181</v>
      </c>
    </row>
    <row r="19" spans="1:8" s="74" customFormat="1" ht="22.5" customHeight="1" thickBot="1">
      <c r="A19" s="70"/>
      <c r="B19" s="71" t="s">
        <v>56</v>
      </c>
      <c r="C19" s="72">
        <f aca="true" t="shared" si="2" ref="C19:H19">C20+C21</f>
        <v>6872999</v>
      </c>
      <c r="D19" s="72">
        <f t="shared" si="2"/>
        <v>2221765</v>
      </c>
      <c r="E19" s="72">
        <f t="shared" si="2"/>
        <v>0</v>
      </c>
      <c r="F19" s="72">
        <f t="shared" si="2"/>
        <v>2353702</v>
      </c>
      <c r="G19" s="72">
        <f t="shared" si="2"/>
        <v>0</v>
      </c>
      <c r="H19" s="73">
        <f t="shared" si="2"/>
        <v>2297532</v>
      </c>
    </row>
    <row r="20" spans="1:8" ht="16.5" customHeight="1" thickTop="1">
      <c r="A20" s="29" t="s">
        <v>199</v>
      </c>
      <c r="B20" s="25" t="s">
        <v>200</v>
      </c>
      <c r="C20" s="69">
        <f t="shared" si="1"/>
        <v>6541239</v>
      </c>
      <c r="D20" s="43">
        <f>'3.pielikums'!D162</f>
        <v>1890005</v>
      </c>
      <c r="E20" s="43">
        <f>'3.pielikums'!E162</f>
        <v>0</v>
      </c>
      <c r="F20" s="43">
        <f>'3.pielikums'!F162</f>
        <v>2353702</v>
      </c>
      <c r="G20" s="43">
        <f>'3.pielikums'!G162</f>
        <v>0</v>
      </c>
      <c r="H20" s="48">
        <f>'3.pielikums'!H162</f>
        <v>2297532</v>
      </c>
    </row>
    <row r="21" spans="1:8" ht="17.25" customHeight="1">
      <c r="A21" s="30" t="s">
        <v>103</v>
      </c>
      <c r="B21" s="20" t="s">
        <v>183</v>
      </c>
      <c r="C21" s="69">
        <f t="shared" si="1"/>
        <v>331760</v>
      </c>
      <c r="D21" s="44">
        <f>'3.pielikums'!D163</f>
        <v>331760</v>
      </c>
      <c r="E21" s="44">
        <f>'3.pielikums'!E163</f>
        <v>0</v>
      </c>
      <c r="F21" s="44">
        <f>'3.pielikums'!F163</f>
        <v>0</v>
      </c>
      <c r="G21" s="44">
        <f>'3.pielikums'!G163</f>
        <v>0</v>
      </c>
      <c r="H21" s="45">
        <f>'3.pielikums'!H163</f>
        <v>0</v>
      </c>
    </row>
    <row r="22" spans="1:8" ht="30">
      <c r="A22" s="32"/>
      <c r="B22" s="91" t="s">
        <v>385</v>
      </c>
      <c r="C22" s="44">
        <f t="shared" si="1"/>
        <v>0</v>
      </c>
      <c r="D22" s="116">
        <f>'3.pielikums'!D164</f>
        <v>0</v>
      </c>
      <c r="E22" s="116">
        <f>'3.pielikums'!E164</f>
        <v>0</v>
      </c>
      <c r="F22" s="116">
        <f>'3.pielikums'!F164</f>
        <v>0</v>
      </c>
      <c r="G22" s="116">
        <f>'3.pielikums'!G164</f>
        <v>0</v>
      </c>
      <c r="H22" s="117">
        <f>'3.pielikums'!H164</f>
        <v>0</v>
      </c>
    </row>
    <row r="23" spans="1:8" ht="30">
      <c r="A23" s="32"/>
      <c r="B23" s="87" t="s">
        <v>386</v>
      </c>
      <c r="C23" s="44">
        <f t="shared" si="1"/>
        <v>0</v>
      </c>
      <c r="D23" s="116">
        <f>'3.pielikums'!D165</f>
        <v>0</v>
      </c>
      <c r="E23" s="116"/>
      <c r="F23" s="116"/>
      <c r="G23" s="116"/>
      <c r="H23" s="117"/>
    </row>
    <row r="24" spans="1:9" ht="30.75" thickBot="1">
      <c r="A24" s="170"/>
      <c r="B24" s="109" t="s">
        <v>163</v>
      </c>
      <c r="C24" s="171">
        <f t="shared" si="1"/>
        <v>331760</v>
      </c>
      <c r="D24" s="116">
        <f>'3.pielikums'!D166</f>
        <v>331760</v>
      </c>
      <c r="E24" s="116">
        <f>'3.pielikums'!E166</f>
        <v>0</v>
      </c>
      <c r="F24" s="116">
        <f>'3.pielikums'!F166</f>
        <v>0</v>
      </c>
      <c r="G24" s="116">
        <f>'3.pielikums'!G166</f>
        <v>0</v>
      </c>
      <c r="H24" s="117">
        <f>'3.pielikums'!H166</f>
        <v>0</v>
      </c>
      <c r="I24" s="31"/>
    </row>
    <row r="25" spans="1:8" s="75" customFormat="1" ht="21.75" customHeight="1" thickBot="1">
      <c r="A25" s="202"/>
      <c r="B25" s="203" t="s">
        <v>85</v>
      </c>
      <c r="C25" s="204">
        <f aca="true" t="shared" si="3" ref="C25:H25">C9+C19</f>
        <v>56904254</v>
      </c>
      <c r="D25" s="204">
        <f t="shared" si="3"/>
        <v>41379534</v>
      </c>
      <c r="E25" s="204">
        <f t="shared" si="3"/>
        <v>1276692</v>
      </c>
      <c r="F25" s="204">
        <f t="shared" si="3"/>
        <v>9951659</v>
      </c>
      <c r="G25" s="204">
        <f t="shared" si="3"/>
        <v>780368</v>
      </c>
      <c r="H25" s="205">
        <f t="shared" si="3"/>
        <v>3516001</v>
      </c>
    </row>
    <row r="26" spans="1:4" s="18" customFormat="1" ht="18.75">
      <c r="A26" s="4"/>
      <c r="B26" s="21"/>
      <c r="C26" s="22"/>
      <c r="D26" s="103"/>
    </row>
    <row r="27" spans="1:8" ht="18.75">
      <c r="A27" s="177" t="s">
        <v>28</v>
      </c>
      <c r="B27" s="177"/>
      <c r="C27" s="178"/>
      <c r="D27" s="179"/>
      <c r="E27" s="178"/>
      <c r="F27" s="18"/>
      <c r="G27" s="18"/>
      <c r="H27" s="180" t="s">
        <v>29</v>
      </c>
    </row>
    <row r="28" ht="12.75">
      <c r="C28" s="47"/>
    </row>
    <row r="29" s="9" customFormat="1" ht="20.25">
      <c r="C29" s="102"/>
    </row>
  </sheetData>
  <sheetProtection/>
  <mergeCells count="6">
    <mergeCell ref="A4:H4"/>
    <mergeCell ref="D7:H7"/>
    <mergeCell ref="C7:C8"/>
    <mergeCell ref="A7:A8"/>
    <mergeCell ref="B7:B8"/>
    <mergeCell ref="A5:H5"/>
  </mergeCells>
  <printOptions/>
  <pageMargins left="0.61" right="0.75" top="0.25" bottom="0.26" header="0.26" footer="0.27"/>
  <pageSetup horizontalDpi="600" verticalDpi="600" orientation="landscape" paperSize="9" r:id="rId1"/>
  <ignoredErrors>
    <ignoredError sqref="C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84" sqref="D84"/>
    </sheetView>
  </sheetViews>
  <sheetFormatPr defaultColWidth="9.140625" defaultRowHeight="12.75"/>
  <cols>
    <col min="1" max="1" width="11.57421875" style="67" customWidth="1"/>
    <col min="2" max="2" width="48.421875" style="85" customWidth="1"/>
    <col min="3" max="3" width="14.57421875" style="1" customWidth="1"/>
    <col min="4" max="4" width="13.7109375" style="81" customWidth="1"/>
    <col min="5" max="5" width="12.140625" style="1" customWidth="1"/>
    <col min="6" max="6" width="13.28125" style="1" customWidth="1"/>
    <col min="7" max="7" width="11.7109375" style="1" customWidth="1"/>
    <col min="8" max="8" width="13.57421875" style="1" customWidth="1"/>
    <col min="9" max="16384" width="9.140625" style="1" customWidth="1"/>
  </cols>
  <sheetData>
    <row r="1" spans="1:8" ht="15.75">
      <c r="A1" s="67" t="s">
        <v>182</v>
      </c>
      <c r="H1" s="125" t="s">
        <v>83</v>
      </c>
    </row>
    <row r="2" ht="15.75">
      <c r="H2" s="125" t="s">
        <v>166</v>
      </c>
    </row>
    <row r="3" ht="15.75">
      <c r="H3" s="125" t="s">
        <v>447</v>
      </c>
    </row>
    <row r="4" spans="1:8" ht="15.75">
      <c r="A4" s="273" t="s">
        <v>443</v>
      </c>
      <c r="B4" s="274"/>
      <c r="C4" s="274"/>
      <c r="D4" s="274"/>
      <c r="E4" s="274"/>
      <c r="F4" s="274"/>
      <c r="G4" s="274"/>
      <c r="H4" s="274"/>
    </row>
    <row r="5" spans="1:8" ht="15.75">
      <c r="A5" s="273" t="s">
        <v>84</v>
      </c>
      <c r="B5" s="274"/>
      <c r="C5" s="274"/>
      <c r="D5" s="274"/>
      <c r="E5" s="274"/>
      <c r="F5" s="274"/>
      <c r="G5" s="274"/>
      <c r="H5" s="274"/>
    </row>
    <row r="6" ht="15.75">
      <c r="H6" s="11" t="s">
        <v>436</v>
      </c>
    </row>
    <row r="7" spans="1:8" ht="15.75">
      <c r="A7" s="277" t="s">
        <v>223</v>
      </c>
      <c r="B7" s="279" t="s">
        <v>31</v>
      </c>
      <c r="C7" s="277" t="s">
        <v>445</v>
      </c>
      <c r="D7" s="275" t="s">
        <v>57</v>
      </c>
      <c r="E7" s="276"/>
      <c r="F7" s="276"/>
      <c r="G7" s="276"/>
      <c r="H7" s="276"/>
    </row>
    <row r="8" spans="1:8" s="82" customFormat="1" ht="72">
      <c r="A8" s="278"/>
      <c r="B8" s="280"/>
      <c r="C8" s="278"/>
      <c r="D8" s="240" t="s">
        <v>291</v>
      </c>
      <c r="E8" s="240" t="s">
        <v>292</v>
      </c>
      <c r="F8" s="240" t="s">
        <v>293</v>
      </c>
      <c r="G8" s="240" t="s">
        <v>294</v>
      </c>
      <c r="H8" s="240" t="s">
        <v>442</v>
      </c>
    </row>
    <row r="9" spans="1:8" s="83" customFormat="1" ht="36" customHeight="1">
      <c r="A9" s="241"/>
      <c r="B9" s="215" t="s">
        <v>30</v>
      </c>
      <c r="C9" s="242">
        <f>SUM(D9+E9+F9+G9+H9)</f>
        <v>50031255</v>
      </c>
      <c r="D9" s="242">
        <f>SUM(D10+D25+D30+D51+D59+D74+D100+D131+D68)</f>
        <v>39157769</v>
      </c>
      <c r="E9" s="242">
        <f>SUM(E10+E25+E30+E51+E59+E74+E100+E131+E68)</f>
        <v>1276692</v>
      </c>
      <c r="F9" s="242">
        <f>SUM(F10+F25+F30+F51+F59+F74+F100+F131+F68)</f>
        <v>7597957</v>
      </c>
      <c r="G9" s="242">
        <f>SUM(G10+G25+G30+G51+G59+G74+G100+G131+G68)</f>
        <v>780368</v>
      </c>
      <c r="H9" s="242">
        <f>SUM(H10+H25+H30+H51+H59+H74+H100+H131+H68)</f>
        <v>1218469</v>
      </c>
    </row>
    <row r="10" spans="1:8" s="83" customFormat="1" ht="15.75">
      <c r="A10" s="243" t="s">
        <v>32</v>
      </c>
      <c r="B10" s="162" t="s">
        <v>10</v>
      </c>
      <c r="C10" s="163">
        <f aca="true" t="shared" si="0" ref="C10:C88">SUM(D10+E10+F10+G10+H10)</f>
        <v>5637658</v>
      </c>
      <c r="D10" s="163">
        <f>SUM(D11+D13+D17+D18+D19+D20+D24)</f>
        <v>4734921</v>
      </c>
      <c r="E10" s="163">
        <f>SUM(E11+E13+E17+E18+E19+E20+E24)</f>
        <v>91015</v>
      </c>
      <c r="F10" s="163">
        <f>SUM(F11+F13+F17+F18+F19+F20+F24)</f>
        <v>0</v>
      </c>
      <c r="G10" s="163">
        <f>SUM(G11+G13+G17+G18+G19+G20+G24)</f>
        <v>713100</v>
      </c>
      <c r="H10" s="163">
        <f>SUM(H11+H13+H17+H18+H19+H20+H24)</f>
        <v>98622</v>
      </c>
    </row>
    <row r="11" spans="1:8" ht="15.75">
      <c r="A11" s="244" t="s">
        <v>42</v>
      </c>
      <c r="B11" s="86" t="s">
        <v>296</v>
      </c>
      <c r="C11" s="110">
        <f t="shared" si="0"/>
        <v>3154934</v>
      </c>
      <c r="D11" s="245">
        <f>SUM(D12:D12)</f>
        <v>3061447</v>
      </c>
      <c r="E11" s="245">
        <f>SUM(E12:E12)</f>
        <v>91015</v>
      </c>
      <c r="F11" s="245">
        <f>SUM(F12:F12)</f>
        <v>0</v>
      </c>
      <c r="G11" s="245">
        <f>SUM(G12:G12)</f>
        <v>0</v>
      </c>
      <c r="H11" s="245">
        <f>SUM(H12:H12)</f>
        <v>2472</v>
      </c>
    </row>
    <row r="12" spans="1:8" s="8" customFormat="1" ht="15.75">
      <c r="A12" s="246" t="s">
        <v>222</v>
      </c>
      <c r="B12" s="195" t="s">
        <v>224</v>
      </c>
      <c r="C12" s="113">
        <f>SUM(D12:H12)</f>
        <v>3154934</v>
      </c>
      <c r="D12" s="262">
        <f>3154934-2472-91015</f>
        <v>3061447</v>
      </c>
      <c r="E12" s="114">
        <v>91015</v>
      </c>
      <c r="F12" s="114"/>
      <c r="G12" s="112"/>
      <c r="H12" s="112">
        <v>2472</v>
      </c>
    </row>
    <row r="13" spans="1:8" ht="15.75">
      <c r="A13" s="244" t="s">
        <v>40</v>
      </c>
      <c r="B13" s="86" t="s">
        <v>68</v>
      </c>
      <c r="C13" s="115">
        <f>SUM(C14:C16)</f>
        <v>327496</v>
      </c>
      <c r="D13" s="115">
        <f>D14+D16+D15</f>
        <v>327496</v>
      </c>
      <c r="E13" s="115">
        <f>E14+E16+E15</f>
        <v>0</v>
      </c>
      <c r="F13" s="115">
        <f>F14+F16+F15</f>
        <v>0</v>
      </c>
      <c r="G13" s="110">
        <f>G14+G16+G15</f>
        <v>0</v>
      </c>
      <c r="H13" s="110">
        <f>H14+H16+H15</f>
        <v>0</v>
      </c>
    </row>
    <row r="14" spans="1:8" s="8" customFormat="1" ht="30">
      <c r="A14" s="246" t="s">
        <v>167</v>
      </c>
      <c r="B14" s="195" t="s">
        <v>295</v>
      </c>
      <c r="C14" s="113">
        <f t="shared" si="0"/>
        <v>42686</v>
      </c>
      <c r="D14" s="114">
        <v>42686</v>
      </c>
      <c r="E14" s="114"/>
      <c r="F14" s="114"/>
      <c r="G14" s="112"/>
      <c r="H14" s="114"/>
    </row>
    <row r="15" spans="1:8" s="8" customFormat="1" ht="30">
      <c r="A15" s="246" t="s">
        <v>168</v>
      </c>
      <c r="B15" s="195" t="s">
        <v>400</v>
      </c>
      <c r="C15" s="113">
        <f t="shared" si="0"/>
        <v>191225</v>
      </c>
      <c r="D15" s="114">
        <v>191225</v>
      </c>
      <c r="E15" s="114"/>
      <c r="F15" s="114"/>
      <c r="G15" s="112"/>
      <c r="H15" s="112"/>
    </row>
    <row r="16" spans="1:8" s="8" customFormat="1" ht="31.5" customHeight="1">
      <c r="A16" s="246" t="s">
        <v>290</v>
      </c>
      <c r="B16" s="196" t="s">
        <v>247</v>
      </c>
      <c r="C16" s="113">
        <f>SUM(D16+E16+F16+G16+H16)</f>
        <v>93585</v>
      </c>
      <c r="D16" s="114">
        <v>93585</v>
      </c>
      <c r="E16" s="114"/>
      <c r="F16" s="114"/>
      <c r="G16" s="112"/>
      <c r="H16" s="112"/>
    </row>
    <row r="17" spans="1:8" ht="44.25">
      <c r="A17" s="244" t="s">
        <v>49</v>
      </c>
      <c r="B17" s="86" t="s">
        <v>297</v>
      </c>
      <c r="C17" s="113">
        <f t="shared" si="0"/>
        <v>387000</v>
      </c>
      <c r="D17" s="113">
        <v>387000</v>
      </c>
      <c r="E17" s="113"/>
      <c r="F17" s="113"/>
      <c r="G17" s="111"/>
      <c r="H17" s="111"/>
    </row>
    <row r="18" spans="1:8" ht="29.25" hidden="1">
      <c r="A18" s="244" t="s">
        <v>339</v>
      </c>
      <c r="B18" s="86" t="s">
        <v>346</v>
      </c>
      <c r="C18" s="113">
        <f t="shared" si="0"/>
        <v>0</v>
      </c>
      <c r="D18" s="113"/>
      <c r="E18" s="113"/>
      <c r="F18" s="113"/>
      <c r="G18" s="111"/>
      <c r="H18" s="111"/>
    </row>
    <row r="19" spans="1:8" ht="30">
      <c r="A19" s="244" t="s">
        <v>41</v>
      </c>
      <c r="B19" s="86" t="s">
        <v>298</v>
      </c>
      <c r="C19" s="113">
        <f t="shared" si="0"/>
        <v>441069</v>
      </c>
      <c r="D19" s="113">
        <v>441069</v>
      </c>
      <c r="E19" s="113"/>
      <c r="F19" s="113"/>
      <c r="G19" s="113"/>
      <c r="H19" s="113"/>
    </row>
    <row r="20" spans="1:8" ht="28.5">
      <c r="A20" s="244" t="s">
        <v>43</v>
      </c>
      <c r="B20" s="86" t="s">
        <v>11</v>
      </c>
      <c r="C20" s="115">
        <f t="shared" si="0"/>
        <v>1084515</v>
      </c>
      <c r="D20" s="115">
        <f>D21+D22+D23</f>
        <v>275265</v>
      </c>
      <c r="E20" s="115">
        <f>E21+E22+E23</f>
        <v>0</v>
      </c>
      <c r="F20" s="115">
        <f>F21+F22+F23</f>
        <v>0</v>
      </c>
      <c r="G20" s="115">
        <f>G21+G22+G23</f>
        <v>713100</v>
      </c>
      <c r="H20" s="115">
        <f>H21+H22+H23</f>
        <v>96150</v>
      </c>
    </row>
    <row r="21" spans="1:8" s="42" customFormat="1" ht="30">
      <c r="A21" s="247" t="s">
        <v>69</v>
      </c>
      <c r="B21" s="196" t="s">
        <v>72</v>
      </c>
      <c r="C21" s="113">
        <f>SUM(D21+E21+F21+G21+H21)</f>
        <v>680100</v>
      </c>
      <c r="D21" s="114">
        <f>-33000-96150</f>
        <v>-129150</v>
      </c>
      <c r="E21" s="114"/>
      <c r="F21" s="114"/>
      <c r="G21" s="114">
        <v>713100</v>
      </c>
      <c r="H21" s="114">
        <v>96150</v>
      </c>
    </row>
    <row r="22" spans="1:8" s="8" customFormat="1" ht="30">
      <c r="A22" s="247" t="s">
        <v>70</v>
      </c>
      <c r="B22" s="196" t="s">
        <v>73</v>
      </c>
      <c r="C22" s="113">
        <f t="shared" si="0"/>
        <v>379114</v>
      </c>
      <c r="D22" s="114">
        <v>379114</v>
      </c>
      <c r="E22" s="114"/>
      <c r="F22" s="114"/>
      <c r="G22" s="114"/>
      <c r="H22" s="114"/>
    </row>
    <row r="23" spans="1:8" s="8" customFormat="1" ht="21" customHeight="1">
      <c r="A23" s="247" t="s">
        <v>71</v>
      </c>
      <c r="B23" s="196" t="s">
        <v>156</v>
      </c>
      <c r="C23" s="113">
        <f t="shared" si="0"/>
        <v>25301</v>
      </c>
      <c r="D23" s="114">
        <f>12025+13276</f>
        <v>25301</v>
      </c>
      <c r="E23" s="114"/>
      <c r="F23" s="114"/>
      <c r="G23" s="114"/>
      <c r="H23" s="114"/>
    </row>
    <row r="24" spans="1:8" ht="43.5">
      <c r="A24" s="248" t="s">
        <v>44</v>
      </c>
      <c r="B24" s="88" t="s">
        <v>299</v>
      </c>
      <c r="C24" s="113">
        <f t="shared" si="0"/>
        <v>242644</v>
      </c>
      <c r="D24" s="113">
        <f>234305+6353+1990-4</f>
        <v>242644</v>
      </c>
      <c r="E24" s="113"/>
      <c r="F24" s="113"/>
      <c r="G24" s="113"/>
      <c r="H24" s="113"/>
    </row>
    <row r="25" spans="1:8" s="83" customFormat="1" ht="15.75">
      <c r="A25" s="243" t="s">
        <v>33</v>
      </c>
      <c r="B25" s="162" t="s">
        <v>12</v>
      </c>
      <c r="C25" s="163">
        <f t="shared" si="0"/>
        <v>2626236</v>
      </c>
      <c r="D25" s="163">
        <f>SUM(D26+D27)</f>
        <v>2413221</v>
      </c>
      <c r="E25" s="163">
        <f>SUM(E26+E27)</f>
        <v>180300</v>
      </c>
      <c r="F25" s="163">
        <f>SUM(F26+F27)</f>
        <v>0</v>
      </c>
      <c r="G25" s="163">
        <f>SUM(G26+G27)</f>
        <v>0</v>
      </c>
      <c r="H25" s="163">
        <f>SUM(H26+H27)</f>
        <v>32715</v>
      </c>
    </row>
    <row r="26" spans="1:8" ht="30">
      <c r="A26" s="248" t="s">
        <v>45</v>
      </c>
      <c r="B26" s="194" t="s">
        <v>401</v>
      </c>
      <c r="C26" s="113">
        <f t="shared" si="0"/>
        <v>2473650</v>
      </c>
      <c r="D26" s="113">
        <f>2473650-10882-180300</f>
        <v>2282468</v>
      </c>
      <c r="E26" s="113">
        <v>180300</v>
      </c>
      <c r="F26" s="113"/>
      <c r="G26" s="113"/>
      <c r="H26" s="113">
        <v>10882</v>
      </c>
    </row>
    <row r="27" spans="1:8" ht="28.5">
      <c r="A27" s="244" t="s">
        <v>46</v>
      </c>
      <c r="B27" s="86" t="s">
        <v>74</v>
      </c>
      <c r="C27" s="110">
        <f t="shared" si="0"/>
        <v>152586</v>
      </c>
      <c r="D27" s="115">
        <f>D28+D29</f>
        <v>130753</v>
      </c>
      <c r="E27" s="115">
        <f>E28+E29</f>
        <v>0</v>
      </c>
      <c r="F27" s="110">
        <f>F28+F29</f>
        <v>0</v>
      </c>
      <c r="G27" s="110">
        <f>G28+G29</f>
        <v>0</v>
      </c>
      <c r="H27" s="110">
        <f>H28+H29</f>
        <v>21833</v>
      </c>
    </row>
    <row r="28" spans="1:8" s="8" customFormat="1" ht="15.75">
      <c r="A28" s="246" t="s">
        <v>93</v>
      </c>
      <c r="B28" s="197" t="s">
        <v>347</v>
      </c>
      <c r="C28" s="112">
        <f t="shared" si="0"/>
        <v>77377</v>
      </c>
      <c r="D28" s="114">
        <v>77377</v>
      </c>
      <c r="E28" s="114"/>
      <c r="F28" s="112"/>
      <c r="G28" s="112"/>
      <c r="H28" s="112"/>
    </row>
    <row r="29" spans="1:8" s="8" customFormat="1" ht="30">
      <c r="A29" s="246" t="s">
        <v>457</v>
      </c>
      <c r="B29" s="197" t="s">
        <v>458</v>
      </c>
      <c r="C29" s="112">
        <f t="shared" si="0"/>
        <v>75209</v>
      </c>
      <c r="D29" s="114">
        <v>53376</v>
      </c>
      <c r="E29" s="114"/>
      <c r="F29" s="112"/>
      <c r="G29" s="112"/>
      <c r="H29" s="112">
        <v>21833</v>
      </c>
    </row>
    <row r="30" spans="1:8" s="83" customFormat="1" ht="15.75">
      <c r="A30" s="243" t="s">
        <v>34</v>
      </c>
      <c r="B30" s="162" t="s">
        <v>13</v>
      </c>
      <c r="C30" s="163">
        <f aca="true" t="shared" si="1" ref="C30:C38">SUM(D30:H30)</f>
        <v>5487665</v>
      </c>
      <c r="D30" s="163">
        <f>SUM(D31+D38+D41)</f>
        <v>4992424</v>
      </c>
      <c r="E30" s="163">
        <f>SUM(E31+E38+E41)</f>
        <v>84863</v>
      </c>
      <c r="F30" s="163">
        <f>SUM(F31+F38+F41)</f>
        <v>0</v>
      </c>
      <c r="G30" s="163">
        <f>SUM(G31+G38+G41)</f>
        <v>39840</v>
      </c>
      <c r="H30" s="163">
        <f>SUM(H31+H38+H41)</f>
        <v>370538</v>
      </c>
    </row>
    <row r="31" spans="1:8" ht="15.75">
      <c r="A31" s="249" t="s">
        <v>47</v>
      </c>
      <c r="B31" s="86" t="s">
        <v>48</v>
      </c>
      <c r="C31" s="115">
        <f t="shared" si="1"/>
        <v>4688048</v>
      </c>
      <c r="D31" s="110">
        <f>SUM(D32:D37)</f>
        <v>4328131</v>
      </c>
      <c r="E31" s="110">
        <f>SUM(E32:E37)</f>
        <v>0</v>
      </c>
      <c r="F31" s="110">
        <f>SUM(F32:F37)</f>
        <v>0</v>
      </c>
      <c r="G31" s="110">
        <f>SUM(G32:G37)</f>
        <v>0</v>
      </c>
      <c r="H31" s="110">
        <f>SUM(H32:H37)</f>
        <v>359917</v>
      </c>
    </row>
    <row r="32" spans="1:8" s="8" customFormat="1" ht="30">
      <c r="A32" s="246" t="s">
        <v>75</v>
      </c>
      <c r="B32" s="195" t="s">
        <v>157</v>
      </c>
      <c r="C32" s="114">
        <f t="shared" si="1"/>
        <v>238057</v>
      </c>
      <c r="D32" s="114">
        <v>238057</v>
      </c>
      <c r="E32" s="112"/>
      <c r="F32" s="112"/>
      <c r="G32" s="112"/>
      <c r="H32" s="112"/>
    </row>
    <row r="33" spans="1:8" s="8" customFormat="1" ht="30">
      <c r="A33" s="246" t="s">
        <v>105</v>
      </c>
      <c r="B33" s="198" t="s">
        <v>474</v>
      </c>
      <c r="C33" s="114">
        <f t="shared" si="1"/>
        <v>945282</v>
      </c>
      <c r="D33" s="112">
        <v>945282</v>
      </c>
      <c r="E33" s="112"/>
      <c r="F33" s="112"/>
      <c r="G33" s="112"/>
      <c r="H33" s="114"/>
    </row>
    <row r="34" spans="1:8" s="8" customFormat="1" ht="30" hidden="1">
      <c r="A34" s="247" t="s">
        <v>226</v>
      </c>
      <c r="B34" s="199" t="s">
        <v>320</v>
      </c>
      <c r="C34" s="114">
        <f t="shared" si="1"/>
        <v>0</v>
      </c>
      <c r="D34" s="114"/>
      <c r="E34" s="114"/>
      <c r="F34" s="114"/>
      <c r="G34" s="114"/>
      <c r="H34" s="114"/>
    </row>
    <row r="35" spans="1:8" s="8" customFormat="1" ht="45" hidden="1">
      <c r="A35" s="247" t="s">
        <v>388</v>
      </c>
      <c r="B35" s="199" t="s">
        <v>402</v>
      </c>
      <c r="C35" s="114">
        <f t="shared" si="1"/>
        <v>0</v>
      </c>
      <c r="D35" s="114"/>
      <c r="E35" s="114"/>
      <c r="F35" s="114"/>
      <c r="G35" s="114"/>
      <c r="H35" s="114"/>
    </row>
    <row r="36" spans="1:8" s="8" customFormat="1" ht="45">
      <c r="A36" s="247" t="s">
        <v>389</v>
      </c>
      <c r="B36" s="199" t="s">
        <v>403</v>
      </c>
      <c r="C36" s="114">
        <f t="shared" si="1"/>
        <v>3152207</v>
      </c>
      <c r="D36" s="114">
        <v>3144792</v>
      </c>
      <c r="E36" s="114"/>
      <c r="F36" s="114"/>
      <c r="G36" s="114"/>
      <c r="H36" s="114">
        <v>7415</v>
      </c>
    </row>
    <row r="37" spans="1:8" s="8" customFormat="1" ht="45">
      <c r="A37" s="247" t="s">
        <v>453</v>
      </c>
      <c r="B37" s="199" t="s">
        <v>454</v>
      </c>
      <c r="C37" s="114">
        <f t="shared" si="1"/>
        <v>352502</v>
      </c>
      <c r="D37" s="114"/>
      <c r="E37" s="114"/>
      <c r="F37" s="114"/>
      <c r="G37" s="114"/>
      <c r="H37" s="114">
        <v>352502</v>
      </c>
    </row>
    <row r="38" spans="1:8" ht="15.75">
      <c r="A38" s="250" t="s">
        <v>106</v>
      </c>
      <c r="B38" s="90" t="s">
        <v>169</v>
      </c>
      <c r="C38" s="110">
        <f t="shared" si="1"/>
        <v>314951</v>
      </c>
      <c r="D38" s="110">
        <f>SUM(D39:D40)</f>
        <v>245824</v>
      </c>
      <c r="E38" s="110">
        <f>SUM(E39:E40)</f>
        <v>64947</v>
      </c>
      <c r="F38" s="110">
        <f>SUM(F39:F40)</f>
        <v>0</v>
      </c>
      <c r="G38" s="110">
        <f>SUM(G39:G40)</f>
        <v>0</v>
      </c>
      <c r="H38" s="110">
        <f>SUM(H39:H40)</f>
        <v>4180</v>
      </c>
    </row>
    <row r="39" spans="1:8" s="8" customFormat="1" ht="30">
      <c r="A39" s="251" t="s">
        <v>179</v>
      </c>
      <c r="B39" s="200" t="s">
        <v>404</v>
      </c>
      <c r="C39" s="114">
        <f t="shared" si="0"/>
        <v>314951</v>
      </c>
      <c r="D39" s="114">
        <f>314951-4180-64947</f>
        <v>245824</v>
      </c>
      <c r="E39" s="114">
        <v>64947</v>
      </c>
      <c r="F39" s="114"/>
      <c r="G39" s="114"/>
      <c r="H39" s="114">
        <v>4180</v>
      </c>
    </row>
    <row r="40" spans="1:8" s="8" customFormat="1" ht="30" hidden="1">
      <c r="A40" s="251" t="s">
        <v>341</v>
      </c>
      <c r="B40" s="200" t="s">
        <v>348</v>
      </c>
      <c r="C40" s="114">
        <f t="shared" si="0"/>
        <v>0</v>
      </c>
      <c r="D40" s="114"/>
      <c r="E40" s="114"/>
      <c r="F40" s="114"/>
      <c r="G40" s="114"/>
      <c r="H40" s="114"/>
    </row>
    <row r="41" spans="1:8" s="8" customFormat="1" ht="15.75">
      <c r="A41" s="250" t="s">
        <v>170</v>
      </c>
      <c r="B41" s="176" t="s">
        <v>171</v>
      </c>
      <c r="C41" s="115">
        <f>SUM(D41:H41)</f>
        <v>484666</v>
      </c>
      <c r="D41" s="115">
        <f>SUM(D42:D50)</f>
        <v>418469</v>
      </c>
      <c r="E41" s="115">
        <f>SUM(E42:E50)</f>
        <v>19916</v>
      </c>
      <c r="F41" s="115">
        <f>SUM(F42:F50)</f>
        <v>0</v>
      </c>
      <c r="G41" s="110">
        <f>SUM(G42:G50)</f>
        <v>39840</v>
      </c>
      <c r="H41" s="110">
        <f>SUM(H42:H50)</f>
        <v>6441</v>
      </c>
    </row>
    <row r="42" spans="1:8" s="8" customFormat="1" ht="30">
      <c r="A42" s="246" t="s">
        <v>202</v>
      </c>
      <c r="B42" s="195" t="s">
        <v>204</v>
      </c>
      <c r="C42" s="114">
        <f>SUM(D42+E42+F42+G42+H42)</f>
        <v>44578</v>
      </c>
      <c r="D42" s="114">
        <v>44578</v>
      </c>
      <c r="E42" s="114"/>
      <c r="F42" s="114"/>
      <c r="G42" s="112"/>
      <c r="H42" s="112"/>
    </row>
    <row r="43" spans="1:8" s="8" customFormat="1" ht="60">
      <c r="A43" s="252" t="s">
        <v>203</v>
      </c>
      <c r="B43" s="195" t="s">
        <v>475</v>
      </c>
      <c r="C43" s="114">
        <f aca="true" t="shared" si="2" ref="C43:C50">SUM(D43+E43+F43+G43+H43)</f>
        <v>69716</v>
      </c>
      <c r="D43" s="114">
        <v>9960</v>
      </c>
      <c r="E43" s="114">
        <v>19916</v>
      </c>
      <c r="F43" s="114"/>
      <c r="G43" s="112">
        <v>39840</v>
      </c>
      <c r="H43" s="112"/>
    </row>
    <row r="44" spans="1:8" s="8" customFormat="1" ht="30" hidden="1">
      <c r="A44" s="261" t="s">
        <v>227</v>
      </c>
      <c r="B44" s="196" t="s">
        <v>349</v>
      </c>
      <c r="C44" s="114">
        <f t="shared" si="2"/>
        <v>0</v>
      </c>
      <c r="D44" s="114"/>
      <c r="E44" s="114"/>
      <c r="F44" s="114"/>
      <c r="G44" s="114"/>
      <c r="H44" s="114"/>
    </row>
    <row r="45" spans="1:8" s="8" customFormat="1" ht="45">
      <c r="A45" s="252" t="s">
        <v>304</v>
      </c>
      <c r="B45" s="195" t="s">
        <v>321</v>
      </c>
      <c r="C45" s="112">
        <f t="shared" si="2"/>
        <v>3508</v>
      </c>
      <c r="D45" s="112"/>
      <c r="E45" s="112"/>
      <c r="F45" s="112"/>
      <c r="G45" s="112"/>
      <c r="H45" s="112">
        <v>3508</v>
      </c>
    </row>
    <row r="46" spans="1:8" s="8" customFormat="1" ht="15.75">
      <c r="A46" s="252" t="s">
        <v>301</v>
      </c>
      <c r="B46" s="195" t="s">
        <v>302</v>
      </c>
      <c r="C46" s="112">
        <f t="shared" si="2"/>
        <v>3000</v>
      </c>
      <c r="D46" s="112">
        <v>3000</v>
      </c>
      <c r="E46" s="112"/>
      <c r="F46" s="112"/>
      <c r="G46" s="112"/>
      <c r="H46" s="112"/>
    </row>
    <row r="47" spans="1:8" s="8" customFormat="1" ht="45">
      <c r="A47" s="252" t="s">
        <v>317</v>
      </c>
      <c r="B47" s="195" t="s">
        <v>405</v>
      </c>
      <c r="C47" s="112">
        <f t="shared" si="2"/>
        <v>363864</v>
      </c>
      <c r="D47" s="112">
        <v>360931</v>
      </c>
      <c r="E47" s="112"/>
      <c r="F47" s="112"/>
      <c r="G47" s="112"/>
      <c r="H47" s="112">
        <v>2933</v>
      </c>
    </row>
    <row r="48" spans="1:8" s="8" customFormat="1" ht="60" hidden="1">
      <c r="A48" s="252" t="s">
        <v>318</v>
      </c>
      <c r="B48" s="195" t="s">
        <v>329</v>
      </c>
      <c r="C48" s="112">
        <f t="shared" si="2"/>
        <v>0</v>
      </c>
      <c r="D48" s="112"/>
      <c r="E48" s="112"/>
      <c r="F48" s="112"/>
      <c r="G48" s="112"/>
      <c r="H48" s="112"/>
    </row>
    <row r="49" spans="1:8" s="8" customFormat="1" ht="30" hidden="1">
      <c r="A49" s="252" t="s">
        <v>336</v>
      </c>
      <c r="B49" s="195" t="s">
        <v>350</v>
      </c>
      <c r="C49" s="112">
        <f t="shared" si="2"/>
        <v>0</v>
      </c>
      <c r="D49" s="112"/>
      <c r="E49" s="112"/>
      <c r="F49" s="112"/>
      <c r="G49" s="112"/>
      <c r="H49" s="112"/>
    </row>
    <row r="50" spans="1:8" s="8" customFormat="1" ht="45" hidden="1">
      <c r="A50" s="261" t="s">
        <v>390</v>
      </c>
      <c r="B50" s="196" t="s">
        <v>406</v>
      </c>
      <c r="C50" s="114">
        <f t="shared" si="2"/>
        <v>0</v>
      </c>
      <c r="D50" s="114"/>
      <c r="E50" s="114"/>
      <c r="F50" s="114"/>
      <c r="G50" s="114"/>
      <c r="H50" s="114"/>
    </row>
    <row r="51" spans="1:8" s="83" customFormat="1" ht="15.75">
      <c r="A51" s="243" t="s">
        <v>35</v>
      </c>
      <c r="B51" s="162" t="s">
        <v>14</v>
      </c>
      <c r="C51" s="163">
        <f t="shared" si="0"/>
        <v>1448310</v>
      </c>
      <c r="D51" s="163">
        <f>SUM(D52+D55+D56)</f>
        <v>1448310</v>
      </c>
      <c r="E51" s="163">
        <f>SUM(E52+E55+E56)</f>
        <v>0</v>
      </c>
      <c r="F51" s="163">
        <f>SUM(F52+F55+F56)</f>
        <v>0</v>
      </c>
      <c r="G51" s="163">
        <f>SUM(G52+G55+G56)</f>
        <v>0</v>
      </c>
      <c r="H51" s="163">
        <f>SUM(H52+H55+H56)</f>
        <v>0</v>
      </c>
    </row>
    <row r="52" spans="1:8" ht="15.75">
      <c r="A52" s="244" t="s">
        <v>50</v>
      </c>
      <c r="B52" s="86" t="s">
        <v>51</v>
      </c>
      <c r="C52" s="110">
        <f t="shared" si="0"/>
        <v>1036286</v>
      </c>
      <c r="D52" s="110">
        <f>SUM(D53+D54)</f>
        <v>1036286</v>
      </c>
      <c r="E52" s="110">
        <f>SUM(E53+E54)</f>
        <v>0</v>
      </c>
      <c r="F52" s="110">
        <f>SUM(F53+F54)</f>
        <v>0</v>
      </c>
      <c r="G52" s="110">
        <f>SUM(G53+G54)</f>
        <v>0</v>
      </c>
      <c r="H52" s="110">
        <f>SUM(H53+H54)</f>
        <v>0</v>
      </c>
    </row>
    <row r="53" spans="1:8" s="8" customFormat="1" ht="30">
      <c r="A53" s="246" t="s">
        <v>76</v>
      </c>
      <c r="B53" s="195" t="s">
        <v>351</v>
      </c>
      <c r="C53" s="112">
        <f t="shared" si="0"/>
        <v>736286</v>
      </c>
      <c r="D53" s="114">
        <v>736286</v>
      </c>
      <c r="E53" s="112"/>
      <c r="F53" s="112"/>
      <c r="G53" s="112"/>
      <c r="H53" s="112"/>
    </row>
    <row r="54" spans="1:8" s="8" customFormat="1" ht="30">
      <c r="A54" s="246" t="s">
        <v>173</v>
      </c>
      <c r="B54" s="195" t="s">
        <v>172</v>
      </c>
      <c r="C54" s="112">
        <f t="shared" si="0"/>
        <v>300000</v>
      </c>
      <c r="D54" s="114">
        <v>300000</v>
      </c>
      <c r="E54" s="112"/>
      <c r="F54" s="112"/>
      <c r="G54" s="112"/>
      <c r="H54" s="114"/>
    </row>
    <row r="55" spans="1:8" ht="15.75">
      <c r="A55" s="244" t="s">
        <v>52</v>
      </c>
      <c r="B55" s="86" t="s">
        <v>101</v>
      </c>
      <c r="C55" s="111">
        <f t="shared" si="0"/>
        <v>412024</v>
      </c>
      <c r="D55" s="113">
        <v>412024</v>
      </c>
      <c r="E55" s="111"/>
      <c r="F55" s="111"/>
      <c r="G55" s="111"/>
      <c r="H55" s="111"/>
    </row>
    <row r="56" spans="1:8" ht="15.75">
      <c r="A56" s="244" t="s">
        <v>353</v>
      </c>
      <c r="B56" s="86" t="s">
        <v>354</v>
      </c>
      <c r="C56" s="110">
        <f t="shared" si="0"/>
        <v>0</v>
      </c>
      <c r="D56" s="110">
        <f>D57+D58</f>
        <v>0</v>
      </c>
      <c r="E56" s="110">
        <f>E57+E58</f>
        <v>0</v>
      </c>
      <c r="F56" s="110">
        <f>F57+F58</f>
        <v>0</v>
      </c>
      <c r="G56" s="110">
        <f>G57+G58</f>
        <v>0</v>
      </c>
      <c r="H56" s="110">
        <f>H57+H58</f>
        <v>0</v>
      </c>
    </row>
    <row r="57" spans="1:8" ht="60" hidden="1">
      <c r="A57" s="247" t="s">
        <v>342</v>
      </c>
      <c r="B57" s="196" t="s">
        <v>352</v>
      </c>
      <c r="C57" s="114">
        <f t="shared" si="0"/>
        <v>0</v>
      </c>
      <c r="D57" s="114"/>
      <c r="E57" s="114"/>
      <c r="F57" s="114"/>
      <c r="G57" s="114"/>
      <c r="H57" s="114"/>
    </row>
    <row r="58" spans="1:8" ht="45" hidden="1">
      <c r="A58" s="247" t="s">
        <v>407</v>
      </c>
      <c r="B58" s="196" t="s">
        <v>408</v>
      </c>
      <c r="C58" s="114">
        <f t="shared" si="0"/>
        <v>0</v>
      </c>
      <c r="D58" s="114"/>
      <c r="E58" s="114"/>
      <c r="F58" s="114"/>
      <c r="G58" s="114"/>
      <c r="H58" s="114"/>
    </row>
    <row r="59" spans="1:8" s="83" customFormat="1" ht="15.75">
      <c r="A59" s="243" t="s">
        <v>36</v>
      </c>
      <c r="B59" s="162" t="s">
        <v>198</v>
      </c>
      <c r="C59" s="163">
        <f t="shared" si="0"/>
        <v>2950490</v>
      </c>
      <c r="D59" s="163">
        <f>SUM(D60+D61+D62)</f>
        <v>2823373</v>
      </c>
      <c r="E59" s="163">
        <f>SUM(E60+E61+E62)</f>
        <v>116700</v>
      </c>
      <c r="F59" s="163">
        <f>SUM(F60+F61+F62)</f>
        <v>10000</v>
      </c>
      <c r="G59" s="163">
        <f>SUM(G60+G61+G62)</f>
        <v>0</v>
      </c>
      <c r="H59" s="163">
        <f>SUM(H60+H61+H62)</f>
        <v>417</v>
      </c>
    </row>
    <row r="60" spans="1:8" s="83" customFormat="1" ht="21" customHeight="1">
      <c r="A60" s="244" t="s">
        <v>355</v>
      </c>
      <c r="B60" s="201" t="s">
        <v>409</v>
      </c>
      <c r="C60" s="110">
        <f t="shared" si="0"/>
        <v>133330</v>
      </c>
      <c r="D60" s="113">
        <v>133330</v>
      </c>
      <c r="E60" s="113"/>
      <c r="F60" s="113"/>
      <c r="G60" s="111"/>
      <c r="H60" s="111"/>
    </row>
    <row r="61" spans="1:8" ht="15.75">
      <c r="A61" s="244" t="s">
        <v>53</v>
      </c>
      <c r="B61" s="201" t="s">
        <v>54</v>
      </c>
      <c r="C61" s="110">
        <f t="shared" si="0"/>
        <v>541460</v>
      </c>
      <c r="D61" s="113">
        <v>541460</v>
      </c>
      <c r="E61" s="113"/>
      <c r="F61" s="113"/>
      <c r="G61" s="111"/>
      <c r="H61" s="111"/>
    </row>
    <row r="62" spans="1:8" ht="28.5">
      <c r="A62" s="244" t="s">
        <v>55</v>
      </c>
      <c r="B62" s="86" t="s">
        <v>322</v>
      </c>
      <c r="C62" s="110">
        <f t="shared" si="0"/>
        <v>2275700</v>
      </c>
      <c r="D62" s="115">
        <f>SUM(D63+D64+D65+D66+D67)</f>
        <v>2148583</v>
      </c>
      <c r="E62" s="115">
        <f>SUM(E63+E64+E65+E66+E67)</f>
        <v>116700</v>
      </c>
      <c r="F62" s="115">
        <f>SUM(F63+F64+F65+F66+F67)</f>
        <v>10000</v>
      </c>
      <c r="G62" s="110">
        <f>SUM(G63+G64+G65+G66+G67)</f>
        <v>0</v>
      </c>
      <c r="H62" s="110">
        <f>SUM(H63+H64+H65+H66+H67)</f>
        <v>417</v>
      </c>
    </row>
    <row r="63" spans="1:8" s="8" customFormat="1" ht="15.75">
      <c r="A63" s="246" t="s">
        <v>77</v>
      </c>
      <c r="B63" s="195" t="s">
        <v>410</v>
      </c>
      <c r="C63" s="112">
        <f t="shared" si="0"/>
        <v>841505</v>
      </c>
      <c r="D63" s="114">
        <f>841505-417-116700</f>
        <v>724388</v>
      </c>
      <c r="E63" s="114">
        <v>116700</v>
      </c>
      <c r="F63" s="114"/>
      <c r="G63" s="114"/>
      <c r="H63" s="112">
        <v>417</v>
      </c>
    </row>
    <row r="64" spans="1:8" s="8" customFormat="1" ht="30.75" customHeight="1">
      <c r="A64" s="246" t="s">
        <v>78</v>
      </c>
      <c r="B64" s="195" t="s">
        <v>102</v>
      </c>
      <c r="C64" s="112">
        <f t="shared" si="0"/>
        <v>896626</v>
      </c>
      <c r="D64" s="114">
        <f>846626+15000+25000</f>
        <v>886626</v>
      </c>
      <c r="E64" s="114"/>
      <c r="F64" s="114">
        <v>10000</v>
      </c>
      <c r="G64" s="112"/>
      <c r="H64" s="112"/>
    </row>
    <row r="65" spans="1:8" s="8" customFormat="1" ht="30">
      <c r="A65" s="246" t="s">
        <v>82</v>
      </c>
      <c r="B65" s="195" t="s">
        <v>158</v>
      </c>
      <c r="C65" s="112">
        <f t="shared" si="0"/>
        <v>304548</v>
      </c>
      <c r="D65" s="114">
        <f>329548-25000</f>
        <v>304548</v>
      </c>
      <c r="E65" s="114"/>
      <c r="F65" s="114"/>
      <c r="G65" s="112"/>
      <c r="H65" s="114"/>
    </row>
    <row r="66" spans="1:8" s="8" customFormat="1" ht="30">
      <c r="A66" s="246" t="s">
        <v>88</v>
      </c>
      <c r="B66" s="195" t="s">
        <v>159</v>
      </c>
      <c r="C66" s="112">
        <f t="shared" si="0"/>
        <v>196008</v>
      </c>
      <c r="D66" s="114">
        <v>196008</v>
      </c>
      <c r="E66" s="114"/>
      <c r="F66" s="114"/>
      <c r="G66" s="112"/>
      <c r="H66" s="112"/>
    </row>
    <row r="67" spans="1:8" s="8" customFormat="1" ht="30">
      <c r="A67" s="246" t="s">
        <v>335</v>
      </c>
      <c r="B67" s="195" t="s">
        <v>356</v>
      </c>
      <c r="C67" s="112">
        <f t="shared" si="0"/>
        <v>37013</v>
      </c>
      <c r="D67" s="114">
        <v>37013</v>
      </c>
      <c r="E67" s="114"/>
      <c r="F67" s="114"/>
      <c r="G67" s="112"/>
      <c r="H67" s="112"/>
    </row>
    <row r="68" spans="1:8" s="8" customFormat="1" ht="15.75">
      <c r="A68" s="243" t="s">
        <v>180</v>
      </c>
      <c r="B68" s="162" t="s">
        <v>181</v>
      </c>
      <c r="C68" s="163">
        <f aca="true" t="shared" si="3" ref="C68:H68">C69+C70+C71+C72+C73</f>
        <v>99145</v>
      </c>
      <c r="D68" s="163">
        <f t="shared" si="3"/>
        <v>99145</v>
      </c>
      <c r="E68" s="163">
        <f t="shared" si="3"/>
        <v>0</v>
      </c>
      <c r="F68" s="163">
        <f t="shared" si="3"/>
        <v>0</v>
      </c>
      <c r="G68" s="163">
        <f t="shared" si="3"/>
        <v>0</v>
      </c>
      <c r="H68" s="163">
        <f t="shared" si="3"/>
        <v>0</v>
      </c>
    </row>
    <row r="69" spans="1:8" s="8" customFormat="1" ht="15.75">
      <c r="A69" s="246" t="s">
        <v>205</v>
      </c>
      <c r="B69" s="195" t="s">
        <v>206</v>
      </c>
      <c r="C69" s="112">
        <f t="shared" si="0"/>
        <v>47300</v>
      </c>
      <c r="D69" s="112">
        <v>47300</v>
      </c>
      <c r="E69" s="112"/>
      <c r="F69" s="112"/>
      <c r="G69" s="112"/>
      <c r="H69" s="112"/>
    </row>
    <row r="70" spans="1:8" s="8" customFormat="1" ht="30">
      <c r="A70" s="246" t="s">
        <v>207</v>
      </c>
      <c r="B70" s="195" t="s">
        <v>208</v>
      </c>
      <c r="C70" s="112">
        <f t="shared" si="0"/>
        <v>15700</v>
      </c>
      <c r="D70" s="112">
        <v>15700</v>
      </c>
      <c r="E70" s="112"/>
      <c r="F70" s="112"/>
      <c r="G70" s="112"/>
      <c r="H70" s="112"/>
    </row>
    <row r="71" spans="1:8" s="8" customFormat="1" ht="15.75">
      <c r="A71" s="246" t="s">
        <v>209</v>
      </c>
      <c r="B71" s="195" t="s">
        <v>210</v>
      </c>
      <c r="C71" s="112">
        <f t="shared" si="0"/>
        <v>30000</v>
      </c>
      <c r="D71" s="112">
        <v>30000</v>
      </c>
      <c r="E71" s="112"/>
      <c r="F71" s="112"/>
      <c r="G71" s="112"/>
      <c r="H71" s="112"/>
    </row>
    <row r="72" spans="1:8" s="8" customFormat="1" ht="15.75">
      <c r="A72" s="246" t="s">
        <v>187</v>
      </c>
      <c r="B72" s="195" t="s">
        <v>357</v>
      </c>
      <c r="C72" s="112">
        <f t="shared" si="0"/>
        <v>6145</v>
      </c>
      <c r="D72" s="112">
        <v>6145</v>
      </c>
      <c r="E72" s="112"/>
      <c r="F72" s="112"/>
      <c r="G72" s="112"/>
      <c r="H72" s="112"/>
    </row>
    <row r="73" spans="1:8" s="8" customFormat="1" ht="30" hidden="1">
      <c r="A73" s="246" t="s">
        <v>343</v>
      </c>
      <c r="B73" s="195" t="s">
        <v>358</v>
      </c>
      <c r="C73" s="112">
        <f t="shared" si="0"/>
        <v>0</v>
      </c>
      <c r="D73" s="112"/>
      <c r="E73" s="112"/>
      <c r="F73" s="112"/>
      <c r="G73" s="112"/>
      <c r="H73" s="112"/>
    </row>
    <row r="74" spans="1:8" s="83" customFormat="1" ht="15.75">
      <c r="A74" s="243" t="s">
        <v>37</v>
      </c>
      <c r="B74" s="162" t="s">
        <v>15</v>
      </c>
      <c r="C74" s="163">
        <f t="shared" si="0"/>
        <v>5367510</v>
      </c>
      <c r="D74" s="163">
        <f>SUM(D75+D79+D94+D95)</f>
        <v>4887584</v>
      </c>
      <c r="E74" s="163">
        <f>SUM(E75+E79+E94+E95)</f>
        <v>342796</v>
      </c>
      <c r="F74" s="163">
        <f>SUM(F75+F79+F94+F95)</f>
        <v>15827</v>
      </c>
      <c r="G74" s="163">
        <f>SUM(G75+G79+G94+G95)</f>
        <v>18488</v>
      </c>
      <c r="H74" s="163">
        <f>SUM(H75+H79+H94+H95)</f>
        <v>102815</v>
      </c>
    </row>
    <row r="75" spans="1:8" ht="15.75">
      <c r="A75" s="244" t="s">
        <v>58</v>
      </c>
      <c r="B75" s="86" t="s">
        <v>59</v>
      </c>
      <c r="C75" s="110">
        <f t="shared" si="0"/>
        <v>901107</v>
      </c>
      <c r="D75" s="110">
        <f>SUM(D76+D77+D78)</f>
        <v>826951</v>
      </c>
      <c r="E75" s="110">
        <f>SUM(E76+E77+E78)</f>
        <v>34148</v>
      </c>
      <c r="F75" s="110">
        <f>SUM(F76+F77+F78)</f>
        <v>0</v>
      </c>
      <c r="G75" s="110">
        <f>SUM(G76+G77+G78)</f>
        <v>0</v>
      </c>
      <c r="H75" s="110">
        <f>SUM(H76+H77+H78)</f>
        <v>40008</v>
      </c>
    </row>
    <row r="76" spans="1:8" s="8" customFormat="1" ht="30">
      <c r="A76" s="246" t="s">
        <v>80</v>
      </c>
      <c r="B76" s="195" t="s">
        <v>411</v>
      </c>
      <c r="C76" s="112">
        <f t="shared" si="0"/>
        <v>426867</v>
      </c>
      <c r="D76" s="114">
        <f>426867-20008-34148</f>
        <v>372711</v>
      </c>
      <c r="E76" s="114">
        <v>34148</v>
      </c>
      <c r="F76" s="114"/>
      <c r="G76" s="112"/>
      <c r="H76" s="112">
        <v>20008</v>
      </c>
    </row>
    <row r="77" spans="1:8" s="8" customFormat="1" ht="15.75">
      <c r="A77" s="246" t="s">
        <v>81</v>
      </c>
      <c r="B77" s="195" t="s">
        <v>160</v>
      </c>
      <c r="C77" s="112">
        <f t="shared" si="0"/>
        <v>469260</v>
      </c>
      <c r="D77" s="114">
        <f>469260-20000</f>
        <v>449260</v>
      </c>
      <c r="E77" s="114"/>
      <c r="F77" s="114"/>
      <c r="G77" s="112"/>
      <c r="H77" s="112">
        <v>20000</v>
      </c>
    </row>
    <row r="78" spans="1:8" s="8" customFormat="1" ht="30">
      <c r="A78" s="246" t="s">
        <v>231</v>
      </c>
      <c r="B78" s="195" t="s">
        <v>333</v>
      </c>
      <c r="C78" s="112">
        <f t="shared" si="0"/>
        <v>4980</v>
      </c>
      <c r="D78" s="112">
        <v>4980</v>
      </c>
      <c r="E78" s="112"/>
      <c r="F78" s="112"/>
      <c r="G78" s="112"/>
      <c r="H78" s="112"/>
    </row>
    <row r="79" spans="1:8" ht="15.75">
      <c r="A79" s="244" t="s">
        <v>60</v>
      </c>
      <c r="B79" s="86" t="s">
        <v>61</v>
      </c>
      <c r="C79" s="110">
        <f t="shared" si="0"/>
        <v>3894153</v>
      </c>
      <c r="D79" s="110">
        <f>D80+D81+D83+D86+D90</f>
        <v>3501013</v>
      </c>
      <c r="E79" s="110">
        <f>E80+E81+E83+E86+E90</f>
        <v>296018</v>
      </c>
      <c r="F79" s="110">
        <f>F80+F81+F83+F86+F90</f>
        <v>15827</v>
      </c>
      <c r="G79" s="110">
        <f>G80+G81+G83+G86+G90</f>
        <v>18488</v>
      </c>
      <c r="H79" s="110">
        <f>H80+H81+H83+H86+H90</f>
        <v>62807</v>
      </c>
    </row>
    <row r="80" spans="1:8" ht="30">
      <c r="A80" s="244" t="s">
        <v>62</v>
      </c>
      <c r="B80" s="201" t="s">
        <v>412</v>
      </c>
      <c r="C80" s="113">
        <f>SUM(D80+E80+F80+G80+H80)</f>
        <v>556117</v>
      </c>
      <c r="D80" s="113">
        <f>556117-8118-18488</f>
        <v>529511</v>
      </c>
      <c r="E80" s="113">
        <f>800+7318</f>
        <v>8118</v>
      </c>
      <c r="F80" s="113"/>
      <c r="G80" s="113">
        <v>18488</v>
      </c>
      <c r="H80" s="113"/>
    </row>
    <row r="81" spans="1:8" ht="15.75" hidden="1">
      <c r="A81" s="244" t="s">
        <v>63</v>
      </c>
      <c r="B81" s="86" t="s">
        <v>359</v>
      </c>
      <c r="C81" s="110">
        <f>SUM(D81+E81+F81+G81+H81)</f>
        <v>397597</v>
      </c>
      <c r="D81" s="115">
        <f>D82</f>
        <v>380555</v>
      </c>
      <c r="E81" s="115">
        <f>E82</f>
        <v>7400</v>
      </c>
      <c r="F81" s="115">
        <f>F82</f>
        <v>0</v>
      </c>
      <c r="G81" s="115">
        <f>G82</f>
        <v>0</v>
      </c>
      <c r="H81" s="110">
        <f>H82</f>
        <v>9642</v>
      </c>
    </row>
    <row r="82" spans="1:8" s="8" customFormat="1" ht="30">
      <c r="A82" s="244" t="s">
        <v>104</v>
      </c>
      <c r="B82" s="201" t="s">
        <v>413</v>
      </c>
      <c r="C82" s="112">
        <f>SUM(D82+E82+F82+G82+H82)</f>
        <v>397597</v>
      </c>
      <c r="D82" s="114">
        <f>397597-7400-9642</f>
        <v>380555</v>
      </c>
      <c r="E82" s="114">
        <v>7400</v>
      </c>
      <c r="F82" s="114"/>
      <c r="G82" s="114"/>
      <c r="H82" s="112">
        <v>9642</v>
      </c>
    </row>
    <row r="83" spans="1:8" ht="15.75">
      <c r="A83" s="244" t="s">
        <v>64</v>
      </c>
      <c r="B83" s="86" t="s">
        <v>316</v>
      </c>
      <c r="C83" s="110">
        <f t="shared" si="0"/>
        <v>2135321</v>
      </c>
      <c r="D83" s="115">
        <f>SUM(D84:D85)</f>
        <v>1801657</v>
      </c>
      <c r="E83" s="115">
        <f>SUM(E84:E85)</f>
        <v>280500</v>
      </c>
      <c r="F83" s="115">
        <f>SUM(F84:F85)</f>
        <v>0</v>
      </c>
      <c r="G83" s="115">
        <f>SUM(G84:G85)</f>
        <v>0</v>
      </c>
      <c r="H83" s="110">
        <f>SUM(H84:H85)</f>
        <v>53164</v>
      </c>
    </row>
    <row r="84" spans="1:8" ht="15.75">
      <c r="A84" s="247" t="s">
        <v>237</v>
      </c>
      <c r="B84" s="196" t="s">
        <v>414</v>
      </c>
      <c r="C84" s="50">
        <f t="shared" si="0"/>
        <v>1261321</v>
      </c>
      <c r="D84" s="50">
        <f>1274821-30951-20713-113500-15000</f>
        <v>1094657</v>
      </c>
      <c r="E84" s="50">
        <v>113500</v>
      </c>
      <c r="F84" s="50"/>
      <c r="G84" s="50"/>
      <c r="H84" s="50">
        <f>30951+20713+1500</f>
        <v>53164</v>
      </c>
    </row>
    <row r="85" spans="1:8" ht="15.75">
      <c r="A85" s="251" t="s">
        <v>238</v>
      </c>
      <c r="B85" s="195" t="s">
        <v>360</v>
      </c>
      <c r="C85" s="44">
        <f t="shared" si="0"/>
        <v>874000</v>
      </c>
      <c r="D85" s="44">
        <f>874000-167000</f>
        <v>707000</v>
      </c>
      <c r="E85" s="50">
        <v>167000</v>
      </c>
      <c r="F85" s="44"/>
      <c r="G85" s="44"/>
      <c r="H85" s="44"/>
    </row>
    <row r="86" spans="1:8" ht="15.75">
      <c r="A86" s="244" t="s">
        <v>65</v>
      </c>
      <c r="B86" s="86" t="s">
        <v>109</v>
      </c>
      <c r="C86" s="110">
        <f t="shared" si="0"/>
        <v>135010</v>
      </c>
      <c r="D86" s="110">
        <f>SUM(D87:D89)</f>
        <v>135009</v>
      </c>
      <c r="E86" s="110">
        <f>SUM(E87:E89)</f>
        <v>0</v>
      </c>
      <c r="F86" s="110">
        <f>SUM(F87:F89)</f>
        <v>0</v>
      </c>
      <c r="G86" s="110">
        <f>SUM(G87:G89)</f>
        <v>0</v>
      </c>
      <c r="H86" s="110">
        <f>SUM(H87:H89)</f>
        <v>1</v>
      </c>
    </row>
    <row r="87" spans="1:8" ht="15.75">
      <c r="A87" s="246" t="s">
        <v>228</v>
      </c>
      <c r="B87" s="195" t="s">
        <v>229</v>
      </c>
      <c r="C87" s="44">
        <f t="shared" si="0"/>
        <v>67194</v>
      </c>
      <c r="D87" s="44">
        <v>67193</v>
      </c>
      <c r="E87" s="44"/>
      <c r="F87" s="44"/>
      <c r="G87" s="44"/>
      <c r="H87" s="44">
        <v>1</v>
      </c>
    </row>
    <row r="88" spans="1:8" ht="15.75">
      <c r="A88" s="246" t="s">
        <v>337</v>
      </c>
      <c r="B88" s="195" t="s">
        <v>361</v>
      </c>
      <c r="C88" s="44">
        <f t="shared" si="0"/>
        <v>48253</v>
      </c>
      <c r="D88" s="44">
        <v>48253</v>
      </c>
      <c r="E88" s="44"/>
      <c r="F88" s="44"/>
      <c r="G88" s="44"/>
      <c r="H88" s="44"/>
    </row>
    <row r="89" spans="1:8" ht="20.25" customHeight="1">
      <c r="A89" s="246" t="s">
        <v>232</v>
      </c>
      <c r="B89" s="195" t="s">
        <v>233</v>
      </c>
      <c r="C89" s="44">
        <f>SUM(D89+E89+F89+G89+H89)</f>
        <v>19563</v>
      </c>
      <c r="D89" s="44">
        <v>19563</v>
      </c>
      <c r="E89" s="44"/>
      <c r="F89" s="44"/>
      <c r="G89" s="44"/>
      <c r="H89" s="44"/>
    </row>
    <row r="90" spans="1:8" ht="15.75">
      <c r="A90" s="244" t="s">
        <v>66</v>
      </c>
      <c r="B90" s="86" t="s">
        <v>164</v>
      </c>
      <c r="C90" s="110">
        <f aca="true" t="shared" si="4" ref="C90:C166">SUM(D90+E90+F90+G90+H90)</f>
        <v>670108</v>
      </c>
      <c r="D90" s="110">
        <f>SUM(D91:D93)</f>
        <v>654281</v>
      </c>
      <c r="E90" s="110">
        <f>SUM(E91:E93)</f>
        <v>0</v>
      </c>
      <c r="F90" s="110">
        <f>SUM(F91:F93)</f>
        <v>15827</v>
      </c>
      <c r="G90" s="110">
        <f>SUM(G91:G93)</f>
        <v>0</v>
      </c>
      <c r="H90" s="110">
        <f>SUM(H91:H93)</f>
        <v>0</v>
      </c>
    </row>
    <row r="91" spans="1:8" s="8" customFormat="1" ht="15.75">
      <c r="A91" s="246" t="s">
        <v>90</v>
      </c>
      <c r="B91" s="195" t="s">
        <v>161</v>
      </c>
      <c r="C91" s="114">
        <f t="shared" si="4"/>
        <v>352306</v>
      </c>
      <c r="D91" s="114">
        <v>336479</v>
      </c>
      <c r="E91" s="114"/>
      <c r="F91" s="112">
        <v>15827</v>
      </c>
      <c r="G91" s="112"/>
      <c r="H91" s="112"/>
    </row>
    <row r="92" spans="1:8" s="8" customFormat="1" ht="15.75">
      <c r="A92" s="246" t="s">
        <v>91</v>
      </c>
      <c r="B92" s="195" t="s">
        <v>162</v>
      </c>
      <c r="C92" s="114">
        <f t="shared" si="4"/>
        <v>317802</v>
      </c>
      <c r="D92" s="114">
        <v>317802</v>
      </c>
      <c r="E92" s="114"/>
      <c r="F92" s="112"/>
      <c r="G92" s="112"/>
      <c r="H92" s="112"/>
    </row>
    <row r="93" spans="1:8" s="8" customFormat="1" ht="60" hidden="1">
      <c r="A93" s="246" t="s">
        <v>305</v>
      </c>
      <c r="B93" s="195" t="s">
        <v>306</v>
      </c>
      <c r="C93" s="114">
        <f t="shared" si="4"/>
        <v>0</v>
      </c>
      <c r="D93" s="114"/>
      <c r="E93" s="114"/>
      <c r="F93" s="112"/>
      <c r="G93" s="112"/>
      <c r="H93" s="112"/>
    </row>
    <row r="94" spans="1:8" ht="15.75">
      <c r="A94" s="244" t="s">
        <v>89</v>
      </c>
      <c r="B94" s="201" t="s">
        <v>415</v>
      </c>
      <c r="C94" s="113">
        <f t="shared" si="4"/>
        <v>371496</v>
      </c>
      <c r="D94" s="113">
        <f>361854-12630+9642</f>
        <v>358866</v>
      </c>
      <c r="E94" s="113">
        <v>12630</v>
      </c>
      <c r="F94" s="111"/>
      <c r="G94" s="111"/>
      <c r="H94" s="111"/>
    </row>
    <row r="95" spans="1:8" ht="28.5">
      <c r="A95" s="244" t="s">
        <v>67</v>
      </c>
      <c r="B95" s="86" t="s">
        <v>243</v>
      </c>
      <c r="C95" s="115">
        <f t="shared" si="4"/>
        <v>200754</v>
      </c>
      <c r="D95" s="115">
        <f>SUM(D96:D99)</f>
        <v>200754</v>
      </c>
      <c r="E95" s="115">
        <f>SUM(E96:E99)</f>
        <v>0</v>
      </c>
      <c r="F95" s="110">
        <f>SUM(F96:F99)</f>
        <v>0</v>
      </c>
      <c r="G95" s="110">
        <f>SUM(G96:G99)</f>
        <v>0</v>
      </c>
      <c r="H95" s="110">
        <f>SUM(H96:H99)</f>
        <v>0</v>
      </c>
    </row>
    <row r="96" spans="1:8" ht="15.75">
      <c r="A96" s="246" t="s">
        <v>234</v>
      </c>
      <c r="B96" s="195" t="s">
        <v>323</v>
      </c>
      <c r="C96" s="50">
        <f t="shared" si="4"/>
        <v>42686</v>
      </c>
      <c r="D96" s="50">
        <v>42686</v>
      </c>
      <c r="E96" s="50"/>
      <c r="F96" s="44"/>
      <c r="G96" s="44"/>
      <c r="H96" s="44"/>
    </row>
    <row r="97" spans="1:8" ht="15.75">
      <c r="A97" s="246" t="s">
        <v>235</v>
      </c>
      <c r="B97" s="195" t="s">
        <v>240</v>
      </c>
      <c r="C97" s="50">
        <f t="shared" si="4"/>
        <v>15600</v>
      </c>
      <c r="D97" s="50">
        <v>15600</v>
      </c>
      <c r="E97" s="50"/>
      <c r="F97" s="44"/>
      <c r="G97" s="44"/>
      <c r="H97" s="44"/>
    </row>
    <row r="98" spans="1:8" ht="30">
      <c r="A98" s="246" t="s">
        <v>239</v>
      </c>
      <c r="B98" s="195" t="s">
        <v>241</v>
      </c>
      <c r="C98" s="44">
        <f t="shared" si="4"/>
        <v>4269</v>
      </c>
      <c r="D98" s="44">
        <v>4269</v>
      </c>
      <c r="E98" s="44"/>
      <c r="F98" s="44"/>
      <c r="G98" s="44"/>
      <c r="H98" s="44"/>
    </row>
    <row r="99" spans="1:8" ht="30">
      <c r="A99" s="246" t="s">
        <v>242</v>
      </c>
      <c r="B99" s="195" t="s">
        <v>416</v>
      </c>
      <c r="C99" s="44">
        <f t="shared" si="4"/>
        <v>138199</v>
      </c>
      <c r="D99" s="44">
        <v>138199</v>
      </c>
      <c r="E99" s="44"/>
      <c r="F99" s="44"/>
      <c r="G99" s="44"/>
      <c r="H99" s="44"/>
    </row>
    <row r="100" spans="1:8" s="83" customFormat="1" ht="15.75">
      <c r="A100" s="243" t="s">
        <v>38</v>
      </c>
      <c r="B100" s="162" t="s">
        <v>16</v>
      </c>
      <c r="C100" s="163">
        <f t="shared" si="4"/>
        <v>21892189</v>
      </c>
      <c r="D100" s="163">
        <f>SUM(D101+D107+D116+D121+D124+D127)</f>
        <v>13576087</v>
      </c>
      <c r="E100" s="163">
        <f>SUM(E101+E107+E116+E121+E124+E127)</f>
        <v>420141</v>
      </c>
      <c r="F100" s="163">
        <f>SUM(F101+F107+F116+F121+F124+F127)</f>
        <v>7295840</v>
      </c>
      <c r="G100" s="163">
        <f>SUM(G101+G107+G116+G121+G124+G127)</f>
        <v>8940</v>
      </c>
      <c r="H100" s="163">
        <f>SUM(H101+H107+H116+H121+H124+H127)</f>
        <v>591181</v>
      </c>
    </row>
    <row r="101" spans="1:8" ht="15.75">
      <c r="A101" s="244" t="s">
        <v>107</v>
      </c>
      <c r="B101" s="86" t="s">
        <v>362</v>
      </c>
      <c r="C101" s="110">
        <f t="shared" si="4"/>
        <v>5808147</v>
      </c>
      <c r="D101" s="110">
        <f>SUM(D102:D106)</f>
        <v>5254429</v>
      </c>
      <c r="E101" s="110">
        <f>SUM(E102:E106)</f>
        <v>33482</v>
      </c>
      <c r="F101" s="110">
        <f>SUM(F102:F106)</f>
        <v>465736</v>
      </c>
      <c r="G101" s="110">
        <f>SUM(G102:G106)</f>
        <v>0</v>
      </c>
      <c r="H101" s="110">
        <f>SUM(H102:H106)</f>
        <v>54500</v>
      </c>
    </row>
    <row r="102" spans="1:8" s="8" customFormat="1" ht="15.75">
      <c r="A102" s="246" t="s">
        <v>211</v>
      </c>
      <c r="B102" s="195" t="s">
        <v>324</v>
      </c>
      <c r="C102" s="112">
        <f t="shared" si="4"/>
        <v>4524549</v>
      </c>
      <c r="D102" s="112">
        <f>4016358-5145-28758</f>
        <v>3982455</v>
      </c>
      <c r="E102" s="114">
        <v>28758</v>
      </c>
      <c r="F102" s="112">
        <f>443536+22200</f>
        <v>465736</v>
      </c>
      <c r="G102" s="112"/>
      <c r="H102" s="114">
        <f>5145+42455</f>
        <v>47600</v>
      </c>
    </row>
    <row r="103" spans="1:8" s="8" customFormat="1" ht="30">
      <c r="A103" s="246" t="s">
        <v>364</v>
      </c>
      <c r="B103" s="195" t="s">
        <v>363</v>
      </c>
      <c r="C103" s="112">
        <f t="shared" si="4"/>
        <v>541801</v>
      </c>
      <c r="D103" s="112">
        <f>541801-4724</f>
        <v>537077</v>
      </c>
      <c r="E103" s="114">
        <v>4724</v>
      </c>
      <c r="F103" s="112"/>
      <c r="G103" s="112"/>
      <c r="H103" s="114"/>
    </row>
    <row r="104" spans="1:8" s="8" customFormat="1" ht="30">
      <c r="A104" s="247" t="s">
        <v>387</v>
      </c>
      <c r="B104" s="196" t="s">
        <v>417</v>
      </c>
      <c r="C104" s="112">
        <f t="shared" si="4"/>
        <v>255047</v>
      </c>
      <c r="D104" s="112">
        <v>255047</v>
      </c>
      <c r="E104" s="112"/>
      <c r="F104" s="112"/>
      <c r="G104" s="112"/>
      <c r="H104" s="114"/>
    </row>
    <row r="105" spans="1:8" s="8" customFormat="1" ht="32.25" customHeight="1" hidden="1">
      <c r="A105" s="247" t="s">
        <v>419</v>
      </c>
      <c r="B105" s="196" t="s">
        <v>418</v>
      </c>
      <c r="C105" s="114">
        <f t="shared" si="4"/>
        <v>0</v>
      </c>
      <c r="D105" s="114"/>
      <c r="E105" s="114"/>
      <c r="F105" s="114"/>
      <c r="G105" s="114"/>
      <c r="H105" s="114"/>
    </row>
    <row r="106" spans="1:8" s="8" customFormat="1" ht="32.25" customHeight="1">
      <c r="A106" s="247" t="s">
        <v>455</v>
      </c>
      <c r="B106" s="196" t="s">
        <v>456</v>
      </c>
      <c r="C106" s="112">
        <f t="shared" si="4"/>
        <v>486750</v>
      </c>
      <c r="D106" s="112">
        <f>16140+463710</f>
        <v>479850</v>
      </c>
      <c r="E106" s="112"/>
      <c r="F106" s="112"/>
      <c r="G106" s="112"/>
      <c r="H106" s="114">
        <v>6900</v>
      </c>
    </row>
    <row r="107" spans="1:8" ht="15.75">
      <c r="A107" s="244" t="s">
        <v>110</v>
      </c>
      <c r="B107" s="86" t="s">
        <v>111</v>
      </c>
      <c r="C107" s="110">
        <f t="shared" si="4"/>
        <v>12137331</v>
      </c>
      <c r="D107" s="110">
        <f>SUM(D108+D113)</f>
        <v>5398169</v>
      </c>
      <c r="E107" s="110">
        <f>SUM(E108+E113)</f>
        <v>90149</v>
      </c>
      <c r="F107" s="110">
        <f>SUM(F108+F113)</f>
        <v>6237236</v>
      </c>
      <c r="G107" s="110">
        <f>SUM(G108+G113)</f>
        <v>8940</v>
      </c>
      <c r="H107" s="110">
        <f>SUM(H108+H113)</f>
        <v>402837</v>
      </c>
    </row>
    <row r="108" spans="1:8" ht="15.75">
      <c r="A108" s="253" t="s">
        <v>230</v>
      </c>
      <c r="B108" s="86" t="s">
        <v>365</v>
      </c>
      <c r="C108" s="110">
        <f>SUM(D108+E108+F108+G108+H108)</f>
        <v>11092451</v>
      </c>
      <c r="D108" s="110">
        <f>SUM(D109:D112)</f>
        <v>4930614</v>
      </c>
      <c r="E108" s="110">
        <f>SUM(E109:E112)</f>
        <v>82649</v>
      </c>
      <c r="F108" s="110">
        <f>SUM(F109:F112)</f>
        <v>5749664</v>
      </c>
      <c r="G108" s="110">
        <f>SUM(G109:G112)</f>
        <v>0</v>
      </c>
      <c r="H108" s="110">
        <f>SUM(H109:H112)</f>
        <v>329524</v>
      </c>
    </row>
    <row r="109" spans="1:8" ht="30">
      <c r="A109" s="246" t="s">
        <v>459</v>
      </c>
      <c r="B109" s="195" t="s">
        <v>471</v>
      </c>
      <c r="C109" s="112">
        <f>SUM(D109+E109+F109+G109+H109)</f>
        <v>364900</v>
      </c>
      <c r="D109" s="112">
        <f>42671+322229</f>
        <v>364900</v>
      </c>
      <c r="E109" s="112"/>
      <c r="F109" s="112"/>
      <c r="G109" s="112"/>
      <c r="H109" s="112"/>
    </row>
    <row r="110" spans="1:8" ht="15.75">
      <c r="A110" s="246" t="s">
        <v>366</v>
      </c>
      <c r="B110" s="195" t="s">
        <v>422</v>
      </c>
      <c r="C110" s="112">
        <f t="shared" si="4"/>
        <v>9120165</v>
      </c>
      <c r="D110" s="112">
        <f>4566113-23360-75451</f>
        <v>4467302</v>
      </c>
      <c r="E110" s="114">
        <v>75451</v>
      </c>
      <c r="F110" s="112">
        <f>4418471-22200</f>
        <v>4396271</v>
      </c>
      <c r="G110" s="112"/>
      <c r="H110" s="112">
        <f>23360+157781</f>
        <v>181141</v>
      </c>
    </row>
    <row r="111" spans="1:8" s="8" customFormat="1" ht="30">
      <c r="A111" s="246" t="s">
        <v>367</v>
      </c>
      <c r="B111" s="195" t="s">
        <v>420</v>
      </c>
      <c r="C111" s="112">
        <f>SUM(D111+E111+F111+G111+H111)</f>
        <v>1565825</v>
      </c>
      <c r="D111" s="112">
        <f>107648-2038-7198</f>
        <v>98412</v>
      </c>
      <c r="E111" s="112">
        <v>7198</v>
      </c>
      <c r="F111" s="112">
        <v>1330352</v>
      </c>
      <c r="G111" s="112"/>
      <c r="H111" s="112">
        <f>2038+127825</f>
        <v>129863</v>
      </c>
    </row>
    <row r="112" spans="1:8" s="8" customFormat="1" ht="21.75" customHeight="1">
      <c r="A112" s="246" t="s">
        <v>344</v>
      </c>
      <c r="B112" s="195" t="s">
        <v>421</v>
      </c>
      <c r="C112" s="112">
        <f>SUM(D112+E112+F112+G112+H112)</f>
        <v>41561</v>
      </c>
      <c r="D112" s="112"/>
      <c r="E112" s="112"/>
      <c r="F112" s="112">
        <v>23041</v>
      </c>
      <c r="G112" s="112"/>
      <c r="H112" s="112">
        <v>18520</v>
      </c>
    </row>
    <row r="113" spans="1:8" ht="15.75">
      <c r="A113" s="244" t="s">
        <v>212</v>
      </c>
      <c r="B113" s="86" t="s">
        <v>213</v>
      </c>
      <c r="C113" s="110">
        <f>SUM(D113:H113)</f>
        <v>1044880</v>
      </c>
      <c r="D113" s="110">
        <f>SUM(D114:D115)</f>
        <v>467555</v>
      </c>
      <c r="E113" s="110">
        <f>SUM(E114:E115)</f>
        <v>7500</v>
      </c>
      <c r="F113" s="110">
        <f>SUM(F114:F115)</f>
        <v>487572</v>
      </c>
      <c r="G113" s="110">
        <f>SUM(G114:G115)</f>
        <v>8940</v>
      </c>
      <c r="H113" s="110">
        <f>SUM(H114:H115)</f>
        <v>73313</v>
      </c>
    </row>
    <row r="114" spans="1:8" s="84" customFormat="1" ht="15.75">
      <c r="A114" s="246" t="s">
        <v>369</v>
      </c>
      <c r="B114" s="195" t="s">
        <v>423</v>
      </c>
      <c r="C114" s="112">
        <f t="shared" si="4"/>
        <v>765542</v>
      </c>
      <c r="D114" s="112">
        <f>489516-5521-16440</f>
        <v>467555</v>
      </c>
      <c r="E114" s="112">
        <v>7500</v>
      </c>
      <c r="F114" s="112">
        <v>272348</v>
      </c>
      <c r="G114" s="112">
        <v>8940</v>
      </c>
      <c r="H114" s="114">
        <f>5521+3678</f>
        <v>9199</v>
      </c>
    </row>
    <row r="115" spans="1:8" s="84" customFormat="1" ht="15.75">
      <c r="A115" s="246" t="s">
        <v>370</v>
      </c>
      <c r="B115" s="195" t="s">
        <v>368</v>
      </c>
      <c r="C115" s="112">
        <f t="shared" si="4"/>
        <v>279338</v>
      </c>
      <c r="D115" s="112"/>
      <c r="E115" s="112"/>
      <c r="F115" s="112">
        <f>235224-20000</f>
        <v>215224</v>
      </c>
      <c r="G115" s="112"/>
      <c r="H115" s="114">
        <v>64114</v>
      </c>
    </row>
    <row r="116" spans="1:8" ht="15.75">
      <c r="A116" s="244" t="s">
        <v>92</v>
      </c>
      <c r="B116" s="86" t="s">
        <v>112</v>
      </c>
      <c r="C116" s="110">
        <f>SUM(D116+E116+F116+G116+H116)</f>
        <v>2490160</v>
      </c>
      <c r="D116" s="115">
        <f>SUM(D117:D120)</f>
        <v>1748490</v>
      </c>
      <c r="E116" s="115">
        <f>SUM(E117:E120)</f>
        <v>160918</v>
      </c>
      <c r="F116" s="115">
        <f>SUM(F117:F120)</f>
        <v>532721</v>
      </c>
      <c r="G116" s="110">
        <f>SUM(G117:G120)</f>
        <v>0</v>
      </c>
      <c r="H116" s="110">
        <f>SUM(H117:H120)</f>
        <v>48031</v>
      </c>
    </row>
    <row r="117" spans="1:8" s="8" customFormat="1" ht="30">
      <c r="A117" s="246" t="s">
        <v>94</v>
      </c>
      <c r="B117" s="196" t="s">
        <v>371</v>
      </c>
      <c r="C117" s="114">
        <f t="shared" si="4"/>
        <v>636117</v>
      </c>
      <c r="D117" s="114">
        <f>411749-1209-51710</f>
        <v>358830</v>
      </c>
      <c r="E117" s="114">
        <v>51710</v>
      </c>
      <c r="F117" s="114">
        <v>218086</v>
      </c>
      <c r="G117" s="114"/>
      <c r="H117" s="112">
        <f>1209+6282</f>
        <v>7491</v>
      </c>
    </row>
    <row r="118" spans="1:8" s="8" customFormat="1" ht="15.75">
      <c r="A118" s="246" t="s">
        <v>95</v>
      </c>
      <c r="B118" s="196" t="s">
        <v>424</v>
      </c>
      <c r="C118" s="114">
        <f>SUM(D118+E118+F118+G118+H118)</f>
        <v>208204</v>
      </c>
      <c r="D118" s="114">
        <f>138476-2099-14702</f>
        <v>121675</v>
      </c>
      <c r="E118" s="114">
        <v>14702</v>
      </c>
      <c r="F118" s="114">
        <v>66641</v>
      </c>
      <c r="G118" s="114"/>
      <c r="H118" s="112">
        <f>2099+3087</f>
        <v>5186</v>
      </c>
    </row>
    <row r="119" spans="1:8" s="8" customFormat="1" ht="15.75">
      <c r="A119" s="246" t="s">
        <v>113</v>
      </c>
      <c r="B119" s="196" t="s">
        <v>300</v>
      </c>
      <c r="C119" s="114">
        <f>SUM(D119+E119+F119+G119+H119)</f>
        <v>1645719</v>
      </c>
      <c r="D119" s="114">
        <f>548349+258726+565905-10489-94506</f>
        <v>1267985</v>
      </c>
      <c r="E119" s="114">
        <f>22400+9500+62606</f>
        <v>94506</v>
      </c>
      <c r="F119" s="114">
        <v>247994</v>
      </c>
      <c r="G119" s="114"/>
      <c r="H119" s="112">
        <f>10489+24745</f>
        <v>35234</v>
      </c>
    </row>
    <row r="120" spans="1:8" s="8" customFormat="1" ht="30">
      <c r="A120" s="246" t="s">
        <v>345</v>
      </c>
      <c r="B120" s="196" t="s">
        <v>425</v>
      </c>
      <c r="C120" s="114">
        <f>SUM(D120+E120+F120+G120+H120)</f>
        <v>120</v>
      </c>
      <c r="D120" s="114"/>
      <c r="E120" s="114"/>
      <c r="F120" s="114"/>
      <c r="G120" s="114"/>
      <c r="H120" s="112">
        <v>120</v>
      </c>
    </row>
    <row r="121" spans="1:8" s="8" customFormat="1" ht="15.75">
      <c r="A121" s="244" t="s">
        <v>214</v>
      </c>
      <c r="B121" s="88" t="s">
        <v>215</v>
      </c>
      <c r="C121" s="115">
        <f aca="true" t="shared" si="5" ref="C121:C126">SUM(D121+E121+F121+G121+H121)</f>
        <v>811827</v>
      </c>
      <c r="D121" s="115">
        <f>SUM(D122+D123)</f>
        <v>543658</v>
      </c>
      <c r="E121" s="115">
        <f>SUM(E122+E123)</f>
        <v>135592</v>
      </c>
      <c r="F121" s="115">
        <f>SUM(F122+F123)</f>
        <v>47000</v>
      </c>
      <c r="G121" s="115">
        <f>SUM(G122+G123)</f>
        <v>0</v>
      </c>
      <c r="H121" s="110">
        <f>SUM(H122+H123)</f>
        <v>85577</v>
      </c>
    </row>
    <row r="122" spans="1:8" s="8" customFormat="1" ht="30">
      <c r="A122" s="246" t="s">
        <v>216</v>
      </c>
      <c r="B122" s="195" t="s">
        <v>426</v>
      </c>
      <c r="C122" s="112">
        <f t="shared" si="5"/>
        <v>691002</v>
      </c>
      <c r="D122" s="114">
        <f>691002-11752-135592</f>
        <v>543658</v>
      </c>
      <c r="E122" s="114">
        <v>135592</v>
      </c>
      <c r="F122" s="114"/>
      <c r="G122" s="112"/>
      <c r="H122" s="112">
        <f>14+11738</f>
        <v>11752</v>
      </c>
    </row>
    <row r="123" spans="1:8" s="8" customFormat="1" ht="30">
      <c r="A123" s="247" t="s">
        <v>217</v>
      </c>
      <c r="B123" s="196" t="s">
        <v>427</v>
      </c>
      <c r="C123" s="112">
        <f t="shared" si="5"/>
        <v>120825</v>
      </c>
      <c r="D123" s="114"/>
      <c r="E123" s="114"/>
      <c r="F123" s="114">
        <f>12000+35000</f>
        <v>47000</v>
      </c>
      <c r="G123" s="112"/>
      <c r="H123" s="112">
        <v>73825</v>
      </c>
    </row>
    <row r="124" spans="1:8" s="8" customFormat="1" ht="15.75">
      <c r="A124" s="248" t="s">
        <v>218</v>
      </c>
      <c r="B124" s="88" t="s">
        <v>246</v>
      </c>
      <c r="C124" s="111">
        <f t="shared" si="5"/>
        <v>4269</v>
      </c>
      <c r="D124" s="110">
        <f>SUM(D125:D126)</f>
        <v>4269</v>
      </c>
      <c r="E124" s="110">
        <f>SUM(E125:E126)</f>
        <v>0</v>
      </c>
      <c r="F124" s="110">
        <f>SUM(F125:F126)</f>
        <v>0</v>
      </c>
      <c r="G124" s="110">
        <f>SUM(G125:G126)</f>
        <v>0</v>
      </c>
      <c r="H124" s="110">
        <f>SUM(H125:H126)</f>
        <v>0</v>
      </c>
    </row>
    <row r="125" spans="1:8" s="8" customFormat="1" ht="23.25" customHeight="1">
      <c r="A125" s="247" t="s">
        <v>244</v>
      </c>
      <c r="B125" s="196" t="s">
        <v>372</v>
      </c>
      <c r="C125" s="112">
        <f t="shared" si="5"/>
        <v>2846</v>
      </c>
      <c r="D125" s="112">
        <v>2846</v>
      </c>
      <c r="E125" s="112"/>
      <c r="F125" s="112"/>
      <c r="G125" s="112"/>
      <c r="H125" s="112"/>
    </row>
    <row r="126" spans="1:8" s="8" customFormat="1" ht="15.75">
      <c r="A126" s="247" t="s">
        <v>245</v>
      </c>
      <c r="B126" s="196" t="s">
        <v>373</v>
      </c>
      <c r="C126" s="112">
        <f t="shared" si="5"/>
        <v>1423</v>
      </c>
      <c r="D126" s="112">
        <v>1423</v>
      </c>
      <c r="E126" s="112"/>
      <c r="F126" s="112"/>
      <c r="G126" s="112"/>
      <c r="H126" s="112"/>
    </row>
    <row r="127" spans="1:8" s="8" customFormat="1" ht="15.75">
      <c r="A127" s="248" t="s">
        <v>108</v>
      </c>
      <c r="B127" s="88" t="s">
        <v>186</v>
      </c>
      <c r="C127" s="110">
        <f>SUM(D127+E127+F127+G127+H127)</f>
        <v>640455</v>
      </c>
      <c r="D127" s="110">
        <f>SUM(D128:D130)</f>
        <v>627072</v>
      </c>
      <c r="E127" s="110">
        <f>SUM(E128:E130)</f>
        <v>0</v>
      </c>
      <c r="F127" s="110">
        <f>SUM(F128:F130)</f>
        <v>13147</v>
      </c>
      <c r="G127" s="110">
        <f>SUM(G128:G130)</f>
        <v>0</v>
      </c>
      <c r="H127" s="110">
        <f>SUM(H128:H130)</f>
        <v>236</v>
      </c>
    </row>
    <row r="128" spans="1:8" ht="30">
      <c r="A128" s="247" t="s">
        <v>185</v>
      </c>
      <c r="B128" s="196" t="s">
        <v>428</v>
      </c>
      <c r="C128" s="114">
        <f>SUM(D128+E128+F128+G128+H128)</f>
        <v>588388</v>
      </c>
      <c r="D128" s="114">
        <v>588388</v>
      </c>
      <c r="E128" s="114"/>
      <c r="F128" s="114"/>
      <c r="G128" s="114"/>
      <c r="H128" s="114"/>
    </row>
    <row r="129" spans="1:8" ht="30">
      <c r="A129" s="247" t="s">
        <v>307</v>
      </c>
      <c r="B129" s="196" t="s">
        <v>430</v>
      </c>
      <c r="C129" s="114">
        <f>SUM(D129+E129+F129+G129+H129)</f>
        <v>13147</v>
      </c>
      <c r="D129" s="114"/>
      <c r="E129" s="114"/>
      <c r="F129" s="114">
        <v>13147</v>
      </c>
      <c r="G129" s="114"/>
      <c r="H129" s="114"/>
    </row>
    <row r="130" spans="1:8" ht="30">
      <c r="A130" s="247" t="s">
        <v>429</v>
      </c>
      <c r="B130" s="196" t="s">
        <v>431</v>
      </c>
      <c r="C130" s="112">
        <f>SUM(D130+E130+F130+G130+H130)</f>
        <v>38920</v>
      </c>
      <c r="D130" s="112">
        <f>38920-236</f>
        <v>38684</v>
      </c>
      <c r="E130" s="112"/>
      <c r="F130" s="112"/>
      <c r="G130" s="112"/>
      <c r="H130" s="112">
        <v>236</v>
      </c>
    </row>
    <row r="131" spans="1:8" s="83" customFormat="1" ht="15.75">
      <c r="A131" s="243" t="s">
        <v>39</v>
      </c>
      <c r="B131" s="162" t="s">
        <v>17</v>
      </c>
      <c r="C131" s="163">
        <f t="shared" si="4"/>
        <v>4522052</v>
      </c>
      <c r="D131" s="163">
        <f>SUM(D132+D137+D140+D146+D147+D148+D156)</f>
        <v>4182704</v>
      </c>
      <c r="E131" s="163">
        <f>SUM(E132+E137+E140+E146+E147+E148+E156)</f>
        <v>40877</v>
      </c>
      <c r="F131" s="163">
        <f>SUM(F132+F137+F140+F146+F147+F148+F156)</f>
        <v>276290</v>
      </c>
      <c r="G131" s="163">
        <f>SUM(G132+G137+G140+G146+G147+G148+G156)</f>
        <v>0</v>
      </c>
      <c r="H131" s="163">
        <f>SUM(H132+H137+H140+H146+H147+H148+H156)</f>
        <v>22181</v>
      </c>
    </row>
    <row r="132" spans="1:8" ht="15.75">
      <c r="A132" s="244" t="s">
        <v>96</v>
      </c>
      <c r="B132" s="86" t="s">
        <v>97</v>
      </c>
      <c r="C132" s="110">
        <f>SUM(D132+E132+F132+G132+H132)</f>
        <v>504675</v>
      </c>
      <c r="D132" s="110">
        <f>SUM(D133+D134+D135+D136)</f>
        <v>287998</v>
      </c>
      <c r="E132" s="110">
        <f>SUM(E133+E134+E135+E136)</f>
        <v>8166</v>
      </c>
      <c r="F132" s="110">
        <f>SUM(F133+F134+F135+F136)</f>
        <v>206290</v>
      </c>
      <c r="G132" s="110">
        <f>SUM(G133+G134+G135+G136)</f>
        <v>0</v>
      </c>
      <c r="H132" s="110">
        <f>SUM(H133+H134+H135+H136)</f>
        <v>2221</v>
      </c>
    </row>
    <row r="133" spans="1:8" s="8" customFormat="1" ht="30">
      <c r="A133" s="246" t="s">
        <v>115</v>
      </c>
      <c r="B133" s="195" t="s">
        <v>119</v>
      </c>
      <c r="C133" s="112">
        <f t="shared" si="4"/>
        <v>266780</v>
      </c>
      <c r="D133" s="112">
        <v>94764</v>
      </c>
      <c r="E133" s="112"/>
      <c r="F133" s="112">
        <v>170316</v>
      </c>
      <c r="G133" s="112"/>
      <c r="H133" s="112">
        <v>1700</v>
      </c>
    </row>
    <row r="134" spans="1:8" s="8" customFormat="1" ht="15.75">
      <c r="A134" s="246" t="s">
        <v>116</v>
      </c>
      <c r="B134" s="195" t="s">
        <v>120</v>
      </c>
      <c r="C134" s="112">
        <f t="shared" si="4"/>
        <v>69519</v>
      </c>
      <c r="D134" s="112">
        <f>69519-149-1155</f>
        <v>68215</v>
      </c>
      <c r="E134" s="112">
        <v>1155</v>
      </c>
      <c r="F134" s="112"/>
      <c r="G134" s="112"/>
      <c r="H134" s="112">
        <v>149</v>
      </c>
    </row>
    <row r="135" spans="1:8" s="8" customFormat="1" ht="15.75">
      <c r="A135" s="246" t="s">
        <v>117</v>
      </c>
      <c r="B135" s="195" t="s">
        <v>121</v>
      </c>
      <c r="C135" s="112">
        <f t="shared" si="4"/>
        <v>66131</v>
      </c>
      <c r="D135" s="112">
        <f>66131-50-2742</f>
        <v>63339</v>
      </c>
      <c r="E135" s="112">
        <v>2742</v>
      </c>
      <c r="F135" s="112"/>
      <c r="G135" s="112"/>
      <c r="H135" s="112">
        <v>50</v>
      </c>
    </row>
    <row r="136" spans="1:8" s="8" customFormat="1" ht="15.75">
      <c r="A136" s="246" t="s">
        <v>118</v>
      </c>
      <c r="B136" s="195" t="s">
        <v>122</v>
      </c>
      <c r="C136" s="112">
        <f t="shared" si="4"/>
        <v>102245</v>
      </c>
      <c r="D136" s="112">
        <f>66039-90-4269</f>
        <v>61680</v>
      </c>
      <c r="E136" s="112">
        <v>4269</v>
      </c>
      <c r="F136" s="112">
        <v>35974</v>
      </c>
      <c r="G136" s="112"/>
      <c r="H136" s="112">
        <f>90+232</f>
        <v>322</v>
      </c>
    </row>
    <row r="137" spans="1:8" ht="15.75">
      <c r="A137" s="244" t="s">
        <v>123</v>
      </c>
      <c r="B137" s="86" t="s">
        <v>124</v>
      </c>
      <c r="C137" s="110">
        <f t="shared" si="4"/>
        <v>333856</v>
      </c>
      <c r="D137" s="110">
        <f>SUM(D138+D139)</f>
        <v>319387</v>
      </c>
      <c r="E137" s="110">
        <f>SUM(E138+E139)</f>
        <v>10000</v>
      </c>
      <c r="F137" s="110">
        <f>SUM(F138+F139)</f>
        <v>0</v>
      </c>
      <c r="G137" s="110">
        <f>SUM(G138+G139)</f>
        <v>0</v>
      </c>
      <c r="H137" s="110">
        <f>SUM(H138+H139)</f>
        <v>4469</v>
      </c>
    </row>
    <row r="138" spans="1:8" s="8" customFormat="1" ht="15.75">
      <c r="A138" s="246" t="s">
        <v>125</v>
      </c>
      <c r="B138" s="195" t="s">
        <v>127</v>
      </c>
      <c r="C138" s="112">
        <f t="shared" si="4"/>
        <v>222047</v>
      </c>
      <c r="D138" s="112">
        <f>222047-2261-10000</f>
        <v>209786</v>
      </c>
      <c r="E138" s="112">
        <v>10000</v>
      </c>
      <c r="F138" s="112"/>
      <c r="G138" s="112"/>
      <c r="H138" s="112">
        <v>2261</v>
      </c>
    </row>
    <row r="139" spans="1:8" s="8" customFormat="1" ht="15.75">
      <c r="A139" s="246" t="s">
        <v>126</v>
      </c>
      <c r="B139" s="195" t="s">
        <v>331</v>
      </c>
      <c r="C139" s="112">
        <f t="shared" si="4"/>
        <v>111809</v>
      </c>
      <c r="D139" s="112">
        <f>111809-2208</f>
        <v>109601</v>
      </c>
      <c r="E139" s="112"/>
      <c r="F139" s="112"/>
      <c r="G139" s="112"/>
      <c r="H139" s="112">
        <v>2208</v>
      </c>
    </row>
    <row r="140" spans="1:8" ht="15.75">
      <c r="A140" s="244" t="s">
        <v>98</v>
      </c>
      <c r="B140" s="86" t="s">
        <v>325</v>
      </c>
      <c r="C140" s="110">
        <f t="shared" si="4"/>
        <v>799742</v>
      </c>
      <c r="D140" s="110">
        <f>SUM(D141:D145)</f>
        <v>785346</v>
      </c>
      <c r="E140" s="110">
        <f>SUM(E141:E145)</f>
        <v>4981</v>
      </c>
      <c r="F140" s="110">
        <f>SUM(F141:F145)</f>
        <v>0</v>
      </c>
      <c r="G140" s="110">
        <f>SUM(G141:G145)</f>
        <v>0</v>
      </c>
      <c r="H140" s="110">
        <f>SUM(H141:H145)</f>
        <v>9415</v>
      </c>
    </row>
    <row r="141" spans="1:8" s="8" customFormat="1" ht="15.75" hidden="1">
      <c r="A141" s="246" t="s">
        <v>128</v>
      </c>
      <c r="B141" s="195" t="s">
        <v>165</v>
      </c>
      <c r="C141" s="112">
        <f t="shared" si="4"/>
        <v>0</v>
      </c>
      <c r="D141" s="112"/>
      <c r="E141" s="112"/>
      <c r="F141" s="112"/>
      <c r="G141" s="112"/>
      <c r="H141" s="112"/>
    </row>
    <row r="142" spans="1:8" s="8" customFormat="1" ht="30">
      <c r="A142" s="247" t="s">
        <v>174</v>
      </c>
      <c r="B142" s="196" t="s">
        <v>219</v>
      </c>
      <c r="C142" s="50">
        <f t="shared" si="4"/>
        <v>646423</v>
      </c>
      <c r="D142" s="114">
        <f>646423-9278-4981</f>
        <v>632164</v>
      </c>
      <c r="E142" s="114">
        <v>4981</v>
      </c>
      <c r="F142" s="114"/>
      <c r="G142" s="114"/>
      <c r="H142" s="114">
        <v>9278</v>
      </c>
    </row>
    <row r="143" spans="1:8" s="8" customFormat="1" ht="15.75">
      <c r="A143" s="246" t="s">
        <v>129</v>
      </c>
      <c r="B143" s="195" t="s">
        <v>432</v>
      </c>
      <c r="C143" s="112">
        <f t="shared" si="4"/>
        <v>153319</v>
      </c>
      <c r="D143" s="112">
        <f>153319-137</f>
        <v>153182</v>
      </c>
      <c r="E143" s="112"/>
      <c r="F143" s="112"/>
      <c r="G143" s="112"/>
      <c r="H143" s="112">
        <v>137</v>
      </c>
    </row>
    <row r="144" spans="1:8" s="8" customFormat="1" ht="52.5" customHeight="1" hidden="1">
      <c r="A144" s="247" t="s">
        <v>314</v>
      </c>
      <c r="B144" s="196" t="s">
        <v>315</v>
      </c>
      <c r="C144" s="114">
        <f t="shared" si="4"/>
        <v>0</v>
      </c>
      <c r="D144" s="114"/>
      <c r="E144" s="114"/>
      <c r="F144" s="114"/>
      <c r="G144" s="114"/>
      <c r="H144" s="114"/>
    </row>
    <row r="145" spans="1:8" s="8" customFormat="1" ht="51" customHeight="1" hidden="1">
      <c r="A145" s="247" t="s">
        <v>319</v>
      </c>
      <c r="B145" s="196" t="s">
        <v>330</v>
      </c>
      <c r="C145" s="114">
        <f t="shared" si="4"/>
        <v>0</v>
      </c>
      <c r="D145" s="114"/>
      <c r="E145" s="114"/>
      <c r="F145" s="114"/>
      <c r="G145" s="114"/>
      <c r="H145" s="114"/>
    </row>
    <row r="146" spans="1:8" s="8" customFormat="1" ht="15.75">
      <c r="A146" s="244" t="s">
        <v>303</v>
      </c>
      <c r="B146" s="201" t="s">
        <v>326</v>
      </c>
      <c r="C146" s="111">
        <f t="shared" si="4"/>
        <v>90000</v>
      </c>
      <c r="D146" s="113">
        <v>20000</v>
      </c>
      <c r="E146" s="111"/>
      <c r="F146" s="111">
        <v>70000</v>
      </c>
      <c r="G146" s="111"/>
      <c r="H146" s="111"/>
    </row>
    <row r="147" spans="1:8" ht="30">
      <c r="A147" s="244" t="s">
        <v>99</v>
      </c>
      <c r="B147" s="86" t="s">
        <v>328</v>
      </c>
      <c r="C147" s="111">
        <f t="shared" si="4"/>
        <v>655000</v>
      </c>
      <c r="D147" s="111">
        <v>655000</v>
      </c>
      <c r="E147" s="111"/>
      <c r="F147" s="111"/>
      <c r="G147" s="111"/>
      <c r="H147" s="111"/>
    </row>
    <row r="148" spans="1:8" ht="28.5">
      <c r="A148" s="244" t="s">
        <v>100</v>
      </c>
      <c r="B148" s="86" t="s">
        <v>327</v>
      </c>
      <c r="C148" s="110">
        <f t="shared" si="4"/>
        <v>999405</v>
      </c>
      <c r="D148" s="110">
        <f>SUM(D149:D155)</f>
        <v>985304</v>
      </c>
      <c r="E148" s="110">
        <f>SUM(E149:E155)</f>
        <v>12561</v>
      </c>
      <c r="F148" s="110">
        <f>SUM(F149:F155)</f>
        <v>0</v>
      </c>
      <c r="G148" s="110">
        <f>SUM(G149:G155)</f>
        <v>0</v>
      </c>
      <c r="H148" s="110">
        <f>SUM(H149:H155)</f>
        <v>1540</v>
      </c>
    </row>
    <row r="149" spans="1:8" s="8" customFormat="1" ht="15.75">
      <c r="A149" s="246" t="s">
        <v>130</v>
      </c>
      <c r="B149" s="195" t="s">
        <v>135</v>
      </c>
      <c r="C149" s="112">
        <f t="shared" si="4"/>
        <v>11051</v>
      </c>
      <c r="D149" s="112">
        <v>11051</v>
      </c>
      <c r="E149" s="112"/>
      <c r="F149" s="112"/>
      <c r="G149" s="112"/>
      <c r="H149" s="112"/>
    </row>
    <row r="150" spans="1:8" s="8" customFormat="1" ht="15.75" hidden="1">
      <c r="A150" s="246" t="s">
        <v>131</v>
      </c>
      <c r="B150" s="195" t="s">
        <v>136</v>
      </c>
      <c r="C150" s="112">
        <f t="shared" si="4"/>
        <v>0</v>
      </c>
      <c r="D150" s="112"/>
      <c r="E150" s="112"/>
      <c r="F150" s="112"/>
      <c r="G150" s="112"/>
      <c r="H150" s="112"/>
    </row>
    <row r="151" spans="1:8" s="8" customFormat="1" ht="30">
      <c r="A151" s="246" t="s">
        <v>132</v>
      </c>
      <c r="B151" s="195" t="s">
        <v>138</v>
      </c>
      <c r="C151" s="112">
        <f t="shared" si="4"/>
        <v>177368</v>
      </c>
      <c r="D151" s="112">
        <v>177368</v>
      </c>
      <c r="E151" s="112"/>
      <c r="F151" s="112"/>
      <c r="G151" s="112"/>
      <c r="H151" s="112"/>
    </row>
    <row r="152" spans="1:8" s="8" customFormat="1" ht="15.75">
      <c r="A152" s="246" t="s">
        <v>437</v>
      </c>
      <c r="B152" s="196" t="s">
        <v>433</v>
      </c>
      <c r="C152" s="112">
        <f t="shared" si="4"/>
        <v>80617</v>
      </c>
      <c r="D152" s="112">
        <f>80617-63-4000</f>
        <v>76554</v>
      </c>
      <c r="E152" s="112">
        <v>4000</v>
      </c>
      <c r="F152" s="112"/>
      <c r="G152" s="112"/>
      <c r="H152" s="112">
        <v>63</v>
      </c>
    </row>
    <row r="153" spans="1:8" s="8" customFormat="1" ht="30">
      <c r="A153" s="247" t="s">
        <v>133</v>
      </c>
      <c r="B153" s="196" t="s">
        <v>434</v>
      </c>
      <c r="C153" s="114">
        <f t="shared" si="4"/>
        <v>627986</v>
      </c>
      <c r="D153" s="114">
        <f>627986-1365-5000</f>
        <v>621621</v>
      </c>
      <c r="E153" s="114">
        <v>5000</v>
      </c>
      <c r="F153" s="114"/>
      <c r="G153" s="114"/>
      <c r="H153" s="114">
        <f>2+1363</f>
        <v>1365</v>
      </c>
    </row>
    <row r="154" spans="1:8" s="8" customFormat="1" ht="15.75">
      <c r="A154" s="246" t="s">
        <v>134</v>
      </c>
      <c r="B154" s="195" t="s">
        <v>137</v>
      </c>
      <c r="C154" s="112">
        <f t="shared" si="4"/>
        <v>15876</v>
      </c>
      <c r="D154" s="112">
        <f>15876-112-3419</f>
        <v>12345</v>
      </c>
      <c r="E154" s="112">
        <v>3419</v>
      </c>
      <c r="F154" s="112"/>
      <c r="G154" s="112"/>
      <c r="H154" s="112">
        <v>112</v>
      </c>
    </row>
    <row r="155" spans="1:8" s="8" customFormat="1" ht="30">
      <c r="A155" s="246" t="s">
        <v>338</v>
      </c>
      <c r="B155" s="195" t="s">
        <v>374</v>
      </c>
      <c r="C155" s="112">
        <f t="shared" si="4"/>
        <v>86507</v>
      </c>
      <c r="D155" s="112">
        <f>86507-142</f>
        <v>86365</v>
      </c>
      <c r="E155" s="112">
        <v>142</v>
      </c>
      <c r="F155" s="112"/>
      <c r="G155" s="112"/>
      <c r="H155" s="112"/>
    </row>
    <row r="156" spans="1:8" ht="15.75">
      <c r="A156" s="244" t="s">
        <v>375</v>
      </c>
      <c r="B156" s="86" t="s">
        <v>376</v>
      </c>
      <c r="C156" s="111">
        <f>D156+E156+F156+G156+H156</f>
        <v>1139374</v>
      </c>
      <c r="D156" s="111">
        <f>SUM(D157:D160)</f>
        <v>1129669</v>
      </c>
      <c r="E156" s="111">
        <f>SUM(E157:E160)</f>
        <v>5169</v>
      </c>
      <c r="F156" s="111">
        <f>SUM(F157:F160)</f>
        <v>0</v>
      </c>
      <c r="G156" s="111">
        <f>SUM(G157:G160)</f>
        <v>0</v>
      </c>
      <c r="H156" s="111">
        <f>SUM(H157:H160)</f>
        <v>4536</v>
      </c>
    </row>
    <row r="157" spans="1:8" ht="30">
      <c r="A157" s="246" t="s">
        <v>468</v>
      </c>
      <c r="B157" s="195" t="s">
        <v>435</v>
      </c>
      <c r="C157" s="112">
        <f t="shared" si="4"/>
        <v>883859</v>
      </c>
      <c r="D157" s="112">
        <f>883859-4536-854</f>
        <v>878469</v>
      </c>
      <c r="E157" s="112">
        <v>854</v>
      </c>
      <c r="F157" s="112"/>
      <c r="G157" s="112"/>
      <c r="H157" s="112">
        <f>4501+35</f>
        <v>4536</v>
      </c>
    </row>
    <row r="158" spans="1:8" ht="30">
      <c r="A158" s="246" t="s">
        <v>469</v>
      </c>
      <c r="B158" s="195" t="s">
        <v>470</v>
      </c>
      <c r="C158" s="112">
        <f>SUM(D158+E158+F158+G158+H158)</f>
        <v>4315</v>
      </c>
      <c r="D158" s="112"/>
      <c r="E158" s="112">
        <v>4315</v>
      </c>
      <c r="F158" s="112"/>
      <c r="G158" s="112"/>
      <c r="H158" s="112"/>
    </row>
    <row r="159" spans="1:8" ht="30">
      <c r="A159" s="246" t="s">
        <v>378</v>
      </c>
      <c r="B159" s="195" t="s">
        <v>377</v>
      </c>
      <c r="C159" s="112">
        <f t="shared" si="4"/>
        <v>11200</v>
      </c>
      <c r="D159" s="112">
        <f>11200</f>
        <v>11200</v>
      </c>
      <c r="E159" s="112"/>
      <c r="F159" s="112"/>
      <c r="G159" s="112"/>
      <c r="H159" s="112"/>
    </row>
    <row r="160" spans="1:8" ht="30">
      <c r="A160" s="246" t="s">
        <v>340</v>
      </c>
      <c r="B160" s="195" t="s">
        <v>379</v>
      </c>
      <c r="C160" s="112">
        <f t="shared" si="4"/>
        <v>240000</v>
      </c>
      <c r="D160" s="112">
        <v>240000</v>
      </c>
      <c r="E160" s="112"/>
      <c r="F160" s="112"/>
      <c r="G160" s="112"/>
      <c r="H160" s="112"/>
    </row>
    <row r="161" spans="1:9" s="83" customFormat="1" ht="15.75">
      <c r="A161" s="254"/>
      <c r="B161" s="162" t="s">
        <v>56</v>
      </c>
      <c r="C161" s="163">
        <f t="shared" si="4"/>
        <v>6872999</v>
      </c>
      <c r="D161" s="163">
        <f>SUM(D162+D163)</f>
        <v>2221765</v>
      </c>
      <c r="E161" s="163">
        <f>SUM(E162+E163)</f>
        <v>0</v>
      </c>
      <c r="F161" s="163">
        <f>SUM(F162+F163)</f>
        <v>2353702</v>
      </c>
      <c r="G161" s="163">
        <f>SUM(G162+G163)</f>
        <v>0</v>
      </c>
      <c r="H161" s="163">
        <f>SUM(H162+H163)</f>
        <v>2297532</v>
      </c>
      <c r="I161" s="169"/>
    </row>
    <row r="162" spans="1:9" ht="15.75">
      <c r="A162" s="255" t="s">
        <v>199</v>
      </c>
      <c r="B162" s="86" t="s">
        <v>200</v>
      </c>
      <c r="C162" s="115">
        <f t="shared" si="4"/>
        <v>6541239</v>
      </c>
      <c r="D162" s="115">
        <f>4224537-2297532-37000</f>
        <v>1890005</v>
      </c>
      <c r="E162" s="50"/>
      <c r="F162" s="50">
        <f>37000+12904+2303798</f>
        <v>2353702</v>
      </c>
      <c r="G162" s="50"/>
      <c r="H162" s="50">
        <v>2297532</v>
      </c>
      <c r="I162" s="64"/>
    </row>
    <row r="163" spans="1:9" s="83" customFormat="1" ht="28.5">
      <c r="A163" s="255" t="s">
        <v>103</v>
      </c>
      <c r="B163" s="86" t="s">
        <v>201</v>
      </c>
      <c r="C163" s="110">
        <f t="shared" si="4"/>
        <v>331760</v>
      </c>
      <c r="D163" s="110">
        <f>D166+D164+D165</f>
        <v>331760</v>
      </c>
      <c r="E163" s="110">
        <f>E166+E164+E165</f>
        <v>0</v>
      </c>
      <c r="F163" s="110">
        <f>F166+F164+F165</f>
        <v>0</v>
      </c>
      <c r="G163" s="110">
        <f>G166+G164+G165</f>
        <v>0</v>
      </c>
      <c r="H163" s="110">
        <f>H166+H164+H165</f>
        <v>0</v>
      </c>
      <c r="I163" s="169"/>
    </row>
    <row r="164" spans="1:9" s="260" customFormat="1" ht="30" hidden="1">
      <c r="A164" s="258"/>
      <c r="B164" s="196" t="s">
        <v>385</v>
      </c>
      <c r="C164" s="50">
        <f t="shared" si="4"/>
        <v>0</v>
      </c>
      <c r="D164" s="114"/>
      <c r="E164" s="115"/>
      <c r="F164" s="115"/>
      <c r="G164" s="115"/>
      <c r="H164" s="115"/>
      <c r="I164" s="259"/>
    </row>
    <row r="165" spans="1:8" s="260" customFormat="1" ht="30" hidden="1">
      <c r="A165" s="258"/>
      <c r="B165" s="196" t="s">
        <v>386</v>
      </c>
      <c r="C165" s="50">
        <f t="shared" si="4"/>
        <v>0</v>
      </c>
      <c r="D165" s="114"/>
      <c r="E165" s="115"/>
      <c r="F165" s="115"/>
      <c r="G165" s="115"/>
      <c r="H165" s="115"/>
    </row>
    <row r="166" spans="1:8" ht="30">
      <c r="A166" s="255"/>
      <c r="B166" s="195" t="s">
        <v>163</v>
      </c>
      <c r="C166" s="44">
        <f t="shared" si="4"/>
        <v>331760</v>
      </c>
      <c r="D166" s="114">
        <v>331760</v>
      </c>
      <c r="E166" s="44"/>
      <c r="F166" s="44"/>
      <c r="G166" s="44"/>
      <c r="H166" s="44"/>
    </row>
    <row r="167" spans="1:8" ht="15.75">
      <c r="A167" s="256"/>
      <c r="B167" s="162" t="s">
        <v>79</v>
      </c>
      <c r="C167" s="163">
        <f aca="true" t="shared" si="6" ref="C167:H167">SUM(C161+C9)</f>
        <v>56904254</v>
      </c>
      <c r="D167" s="163">
        <f t="shared" si="6"/>
        <v>41379534</v>
      </c>
      <c r="E167" s="163">
        <f t="shared" si="6"/>
        <v>1276692</v>
      </c>
      <c r="F167" s="163">
        <f t="shared" si="6"/>
        <v>9951659</v>
      </c>
      <c r="G167" s="163">
        <f t="shared" si="6"/>
        <v>780368</v>
      </c>
      <c r="H167" s="163">
        <f t="shared" si="6"/>
        <v>3516001</v>
      </c>
    </row>
    <row r="168" spans="1:8" s="94" customFormat="1" ht="15.75">
      <c r="A168" s="92"/>
      <c r="B168" s="93"/>
      <c r="C168" s="118"/>
      <c r="D168" s="119"/>
      <c r="E168" s="119"/>
      <c r="F168" s="92"/>
      <c r="G168" s="92"/>
      <c r="H168" s="118"/>
    </row>
    <row r="169" spans="3:8" ht="15.75">
      <c r="C169" s="120"/>
      <c r="D169" s="121"/>
      <c r="E169" s="67"/>
      <c r="F169" s="67"/>
      <c r="G169" s="67"/>
      <c r="H169" s="67"/>
    </row>
    <row r="170" spans="1:8" s="94" customFormat="1" ht="18.75">
      <c r="A170" s="7" t="s">
        <v>28</v>
      </c>
      <c r="B170" s="182"/>
      <c r="C170" s="183"/>
      <c r="D170" s="220"/>
      <c r="E170" s="7"/>
      <c r="F170" s="7"/>
      <c r="G170" s="7"/>
      <c r="H170" s="181" t="s">
        <v>86</v>
      </c>
    </row>
    <row r="171" spans="3:8" ht="15.75">
      <c r="C171" s="120"/>
      <c r="D171" s="122"/>
      <c r="E171" s="67"/>
      <c r="F171" s="67"/>
      <c r="G171" s="67"/>
      <c r="H171" s="67"/>
    </row>
    <row r="172" spans="3:8" ht="15.75">
      <c r="C172" s="67"/>
      <c r="D172" s="122"/>
      <c r="E172" s="67"/>
      <c r="F172" s="67"/>
      <c r="G172" s="67"/>
      <c r="H172" s="67"/>
    </row>
    <row r="173" spans="3:8" ht="15.75">
      <c r="C173" s="67"/>
      <c r="D173" s="122"/>
      <c r="E173" s="120"/>
      <c r="F173" s="67"/>
      <c r="G173" s="67"/>
      <c r="H173" s="67"/>
    </row>
    <row r="174" ht="15.75">
      <c r="C174" s="89"/>
    </row>
  </sheetData>
  <sheetProtection/>
  <mergeCells count="6">
    <mergeCell ref="A4:H4"/>
    <mergeCell ref="A5:H5"/>
    <mergeCell ref="D7:H7"/>
    <mergeCell ref="A7:A8"/>
    <mergeCell ref="B7:B8"/>
    <mergeCell ref="C7:C8"/>
  </mergeCells>
  <printOptions/>
  <pageMargins left="0.7874015748031497" right="0.7874015748031497" top="0.984251968503937" bottom="0.3937007874015748" header="0.7086614173228347" footer="0.1968503937007874"/>
  <pageSetup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8515625" style="2" customWidth="1"/>
    <col min="2" max="2" width="48.57421875" style="2" customWidth="1"/>
    <col min="3" max="3" width="16.28125" style="2" customWidth="1"/>
    <col min="4" max="4" width="17.7109375" style="2" customWidth="1"/>
    <col min="5" max="5" width="17.28125" style="2" customWidth="1"/>
    <col min="6" max="6" width="18.28125" style="2" customWidth="1"/>
    <col min="7" max="7" width="15.8515625" style="2" customWidth="1"/>
    <col min="8" max="8" width="10.57421875" style="2" bestFit="1" customWidth="1"/>
    <col min="9" max="16384" width="9.140625" style="2" customWidth="1"/>
  </cols>
  <sheetData>
    <row r="1" spans="1:7" ht="15.75">
      <c r="A1" s="1" t="s">
        <v>182</v>
      </c>
      <c r="E1" s="13"/>
      <c r="G1" s="13" t="s">
        <v>465</v>
      </c>
    </row>
    <row r="2" spans="4:7" ht="15">
      <c r="D2" s="185"/>
      <c r="E2" s="13"/>
      <c r="G2" s="13" t="s">
        <v>391</v>
      </c>
    </row>
    <row r="3" spans="5:7" ht="15">
      <c r="E3" s="186"/>
      <c r="G3" s="186" t="s">
        <v>448</v>
      </c>
    </row>
    <row r="4" ht="45" customHeight="1"/>
    <row r="5" spans="1:7" ht="20.25">
      <c r="A5" s="237" t="s">
        <v>462</v>
      </c>
      <c r="B5" s="237"/>
      <c r="C5" s="237"/>
      <c r="D5" s="237"/>
      <c r="E5" s="237"/>
      <c r="G5" s="237"/>
    </row>
    <row r="6" spans="1:7" ht="12.75">
      <c r="A6" s="187"/>
      <c r="B6" s="187"/>
      <c r="C6" s="187"/>
      <c r="D6" s="187"/>
      <c r="E6" s="187"/>
      <c r="F6" s="187"/>
      <c r="G6" s="187"/>
    </row>
    <row r="7" spans="1:7" ht="12.75">
      <c r="A7" s="187"/>
      <c r="B7" s="188"/>
      <c r="C7" s="189"/>
      <c r="D7" s="189"/>
      <c r="E7" s="190"/>
      <c r="F7" s="190" t="s">
        <v>436</v>
      </c>
      <c r="G7" s="189"/>
    </row>
    <row r="8" spans="1:7" ht="63">
      <c r="A8" s="215" t="s">
        <v>464</v>
      </c>
      <c r="B8" s="215" t="s">
        <v>392</v>
      </c>
      <c r="C8" s="215" t="s">
        <v>452</v>
      </c>
      <c r="D8" s="215" t="s">
        <v>472</v>
      </c>
      <c r="E8" s="238" t="s">
        <v>449</v>
      </c>
      <c r="F8" s="238" t="s">
        <v>450</v>
      </c>
      <c r="G8" s="238" t="s">
        <v>473</v>
      </c>
    </row>
    <row r="9" spans="1:8" s="7" customFormat="1" ht="18.75">
      <c r="A9" s="236" t="s">
        <v>393</v>
      </c>
      <c r="B9" s="3" t="s">
        <v>394</v>
      </c>
      <c r="C9" s="218">
        <f>C10</f>
        <v>135000</v>
      </c>
      <c r="D9" s="218">
        <f>D10</f>
        <v>51311</v>
      </c>
      <c r="E9" s="218">
        <f>C9+D9</f>
        <v>186311</v>
      </c>
      <c r="F9" s="218">
        <f>F10</f>
        <v>186311</v>
      </c>
      <c r="G9" s="218">
        <f>G10</f>
        <v>0</v>
      </c>
      <c r="H9" s="191"/>
    </row>
    <row r="10" spans="1:8" ht="32.25">
      <c r="A10" s="221" t="s">
        <v>451</v>
      </c>
      <c r="B10" s="216" t="s">
        <v>395</v>
      </c>
      <c r="C10" s="217">
        <v>135000</v>
      </c>
      <c r="D10" s="217">
        <v>51311</v>
      </c>
      <c r="E10" s="217">
        <f>SUM(C10:D10)</f>
        <v>186311</v>
      </c>
      <c r="F10" s="217">
        <f>SUM(E10)</f>
        <v>186311</v>
      </c>
      <c r="G10" s="217"/>
      <c r="H10" s="191"/>
    </row>
    <row r="11" spans="1:8" s="7" customFormat="1" ht="18.75">
      <c r="A11" s="236" t="s">
        <v>396</v>
      </c>
      <c r="B11" s="52" t="s">
        <v>397</v>
      </c>
      <c r="C11" s="218">
        <f>C12</f>
        <v>1628657</v>
      </c>
      <c r="D11" s="218">
        <f>D12</f>
        <v>77808</v>
      </c>
      <c r="E11" s="218">
        <f>E12</f>
        <v>1706465</v>
      </c>
      <c r="F11" s="218">
        <f>F12</f>
        <v>1706465</v>
      </c>
      <c r="G11" s="218">
        <f>G12</f>
        <v>0</v>
      </c>
      <c r="H11" s="191"/>
    </row>
    <row r="12" spans="1:8" ht="32.25">
      <c r="A12" s="221" t="s">
        <v>277</v>
      </c>
      <c r="B12" s="222" t="s">
        <v>308</v>
      </c>
      <c r="C12" s="218">
        <f>SUM(C13+C14)</f>
        <v>1628657</v>
      </c>
      <c r="D12" s="218">
        <f>SUM(D13+D14)</f>
        <v>77808</v>
      </c>
      <c r="E12" s="218">
        <f>SUM(E13+E14)</f>
        <v>1706465</v>
      </c>
      <c r="F12" s="218">
        <f>F13+F14</f>
        <v>1706465</v>
      </c>
      <c r="G12" s="218">
        <f>G13+G14</f>
        <v>0</v>
      </c>
      <c r="H12" s="191"/>
    </row>
    <row r="13" spans="1:8" ht="18.75">
      <c r="A13" s="213"/>
      <c r="B13" s="192" t="s">
        <v>398</v>
      </c>
      <c r="C13" s="214">
        <v>1149321</v>
      </c>
      <c r="D13" s="217">
        <v>77808</v>
      </c>
      <c r="E13" s="217">
        <f>C13+D13</f>
        <v>1227129</v>
      </c>
      <c r="F13" s="217">
        <f>E13</f>
        <v>1227129</v>
      </c>
      <c r="G13" s="217"/>
      <c r="H13" s="191"/>
    </row>
    <row r="14" spans="1:8" ht="32.25">
      <c r="A14" s="219"/>
      <c r="B14" s="192" t="s">
        <v>399</v>
      </c>
      <c r="C14" s="208">
        <v>479336</v>
      </c>
      <c r="D14" s="208">
        <v>0</v>
      </c>
      <c r="E14" s="209">
        <f>C14+D14</f>
        <v>479336</v>
      </c>
      <c r="F14" s="209">
        <f>E14</f>
        <v>479336</v>
      </c>
      <c r="G14" s="208"/>
      <c r="H14" s="191"/>
    </row>
    <row r="15" spans="1:8" ht="18.75">
      <c r="A15" s="236" t="s">
        <v>460</v>
      </c>
      <c r="B15" s="52" t="s">
        <v>461</v>
      </c>
      <c r="C15" s="218">
        <v>0</v>
      </c>
      <c r="D15" s="218">
        <f>98045</f>
        <v>98045</v>
      </c>
      <c r="E15" s="218">
        <f>C15+D15</f>
        <v>98045</v>
      </c>
      <c r="F15" s="218">
        <f>E15-G15</f>
        <v>98029</v>
      </c>
      <c r="G15" s="218">
        <v>16</v>
      </c>
      <c r="H15" s="191"/>
    </row>
    <row r="16" spans="1:8" s="193" customFormat="1" ht="32.25">
      <c r="A16" s="233"/>
      <c r="B16" s="234" t="s">
        <v>463</v>
      </c>
      <c r="C16" s="235">
        <f>C9+C11+C15</f>
        <v>1763657</v>
      </c>
      <c r="D16" s="235">
        <f>D9+D11+D15</f>
        <v>227164</v>
      </c>
      <c r="E16" s="239">
        <f>E9+E11+E15</f>
        <v>1990821</v>
      </c>
      <c r="F16" s="239">
        <f>F9+F11+F15</f>
        <v>1990805</v>
      </c>
      <c r="G16" s="239">
        <f>G9+G11+G15</f>
        <v>16</v>
      </c>
      <c r="H16" s="191"/>
    </row>
    <row r="18" spans="1:7" ht="18.75">
      <c r="A18" s="7" t="s">
        <v>28</v>
      </c>
      <c r="B18" s="7"/>
      <c r="C18" s="7"/>
      <c r="D18" s="7"/>
      <c r="E18" s="7"/>
      <c r="F18" s="181" t="s">
        <v>29</v>
      </c>
      <c r="G18" s="7"/>
    </row>
    <row r="20" spans="1:3" ht="15.75">
      <c r="A20" s="226"/>
      <c r="B20" s="227"/>
      <c r="C20" s="228"/>
    </row>
    <row r="21" spans="1:3" ht="15.75">
      <c r="A21" s="229"/>
      <c r="B21" s="229"/>
      <c r="C21" s="230"/>
    </row>
    <row r="22" spans="1:3" ht="15.75">
      <c r="A22" s="229"/>
      <c r="B22" s="229"/>
      <c r="C22" s="230"/>
    </row>
    <row r="23" spans="1:3" ht="15.75">
      <c r="A23" s="223"/>
      <c r="B23" s="224"/>
      <c r="C23" s="225"/>
    </row>
    <row r="24" spans="1:3" ht="15.75">
      <c r="A24" s="223"/>
      <c r="B24" s="224"/>
      <c r="C24" s="225"/>
    </row>
    <row r="25" spans="1:3" ht="15.75">
      <c r="A25" s="231"/>
      <c r="B25" s="229"/>
      <c r="C25" s="230"/>
    </row>
    <row r="26" spans="1:3" ht="15.75">
      <c r="A26" s="223"/>
      <c r="B26" s="224"/>
      <c r="C26" s="225"/>
    </row>
    <row r="27" spans="1:3" ht="15.75">
      <c r="A27" s="223"/>
      <c r="B27" s="224"/>
      <c r="C27" s="225"/>
    </row>
    <row r="28" spans="1:3" ht="15.75">
      <c r="A28" s="223"/>
      <c r="B28" s="224"/>
      <c r="C28" s="225"/>
    </row>
    <row r="29" spans="1:3" ht="15.75">
      <c r="A29" s="231"/>
      <c r="B29" s="229"/>
      <c r="C29" s="230"/>
    </row>
    <row r="30" spans="1:3" ht="15.75">
      <c r="A30" s="223"/>
      <c r="B30" s="224"/>
      <c r="C30" s="225"/>
    </row>
    <row r="31" spans="1:3" ht="15.75">
      <c r="A31" s="223"/>
      <c r="B31" s="224"/>
      <c r="C31" s="225"/>
    </row>
    <row r="32" spans="1:3" ht="12.75">
      <c r="A32" s="232"/>
      <c r="B32" s="232"/>
      <c r="C32" s="232"/>
    </row>
  </sheetData>
  <sheetProtection/>
  <printOptions/>
  <pageMargins left="0.75" right="0.75" top="0.51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Sandis Liepa</cp:lastModifiedBy>
  <cp:lastPrinted>2015-02-10T12:00:52Z</cp:lastPrinted>
  <dcterms:created xsi:type="dcterms:W3CDTF">2007-01-09T12:30:29Z</dcterms:created>
  <dcterms:modified xsi:type="dcterms:W3CDTF">2015-02-23T12:23:03Z</dcterms:modified>
  <cp:category/>
  <cp:version/>
  <cp:contentType/>
  <cp:contentStatus/>
</cp:coreProperties>
</file>