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100" windowHeight="4335" tabRatio="800" activeTab="3"/>
  </bookViews>
  <sheets>
    <sheet name="1.pielikums" sheetId="1" r:id="rId1"/>
    <sheet name="2.pielikums" sheetId="2" r:id="rId2"/>
    <sheet name="3.pielikums" sheetId="3" r:id="rId3"/>
    <sheet name="5.pielikums" sheetId="4" r:id="rId4"/>
  </sheets>
  <definedNames>
    <definedName name="_xlnm.Print_Titles" localSheetId="2">'3.pielikums'!$9:$11</definedName>
    <definedName name="_xlnm.Print_Titles" localSheetId="3">'5.pielikums'!$A:$A,'5.pielikums'!$5:$6</definedName>
  </definedNames>
  <calcPr fullCalcOnLoad="1"/>
</workbook>
</file>

<file path=xl/sharedStrings.xml><?xml version="1.0" encoding="utf-8"?>
<sst xmlns="http://schemas.openxmlformats.org/spreadsheetml/2006/main" count="1066" uniqueCount="769">
  <si>
    <r>
      <t xml:space="preserve">Mājokļa atbalsts - </t>
    </r>
    <r>
      <rPr>
        <b/>
        <i/>
        <sz val="10"/>
        <rFont val="Times New Roman"/>
        <family val="1"/>
      </rPr>
      <t>Dzīvokļa pabalsts un pabalsts individuālās apkures nodrošināšanai</t>
    </r>
  </si>
  <si>
    <t>Pamatkapitāla palielināšana SIA "Jelgavas pilsētas slimnīca"</t>
  </si>
  <si>
    <t xml:space="preserve">Klasifikā-cijas kods </t>
  </si>
  <si>
    <t>dotācija no vispārējiem ieņēmu-miem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</si>
  <si>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</si>
  <si>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</si>
  <si>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</si>
  <si>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</si>
  <si>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</si>
  <si>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</si>
  <si>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</si>
  <si>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</si>
  <si>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Valsts budžeta transferti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</si>
  <si>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</si>
  <si>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</si>
  <si>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</si>
  <si>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</si>
  <si>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</si>
  <si>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</si>
  <si>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</si>
  <si>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</si>
  <si>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</si>
  <si>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</si>
  <si>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</si>
  <si>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</si>
  <si>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</si>
  <si>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</si>
  <si>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</si>
  <si>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03.200.</t>
  </si>
  <si>
    <t>04.510.</t>
  </si>
  <si>
    <t>Autotransports</t>
  </si>
  <si>
    <t>01.330.</t>
  </si>
  <si>
    <t>05.100.</t>
  </si>
  <si>
    <t>Atkritumu apsaimniekošana</t>
  </si>
  <si>
    <t>05.200.</t>
  </si>
  <si>
    <t>06.400.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</si>
  <si>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</si>
  <si>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</si>
  <si>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</si>
  <si>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</si>
  <si>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</si>
  <si>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</si>
  <si>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</si>
  <si>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</si>
  <si>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</si>
  <si>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</si>
  <si>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</si>
  <si>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</si>
  <si>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</si>
  <si>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</si>
  <si>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</si>
  <si>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</si>
  <si>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</si>
  <si>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</si>
  <si>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</si>
  <si>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</si>
  <si>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</si>
  <si>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</si>
  <si>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</si>
  <si>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</si>
  <si>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</si>
  <si>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</si>
  <si>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</si>
  <si>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</si>
  <si>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</si>
  <si>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 xml:space="preserve">           Pamatbudžeta izdevumu atšifrējums pa programmām </t>
  </si>
  <si>
    <t>PAVISAM IZDEVUMI (I+II)</t>
  </si>
  <si>
    <t>Dotācija zaudējumu kompensācijai pašvaldības SIA "Jelgavas autobusu parks"</t>
  </si>
  <si>
    <t>06.604.</t>
  </si>
  <si>
    <t>08.330.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</si>
  <si>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</si>
  <si>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</si>
  <si>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</si>
  <si>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</si>
  <si>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</si>
  <si>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</si>
  <si>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</si>
  <si>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</si>
  <si>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</si>
  <si>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Atbalsts ģimenām ar bērniem</t>
  </si>
  <si>
    <t>10.600.</t>
  </si>
  <si>
    <t>10.700.</t>
  </si>
  <si>
    <t>10.910.</t>
  </si>
  <si>
    <t>Notekūdeņu apsaimniekošana</t>
  </si>
  <si>
    <t xml:space="preserve">Pārējā citur nekvalificētā pašvaldības teritoriju un mājokļu apsaimniekošanas darbība 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</si>
  <si>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</si>
  <si>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</si>
  <si>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</si>
  <si>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</si>
  <si>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</si>
  <si>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</si>
  <si>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Jelgavas mākslas skola</t>
  </si>
  <si>
    <t>09.810.</t>
  </si>
  <si>
    <t xml:space="preserve">Teātri, izrādes un koncertdarbība </t>
  </si>
  <si>
    <t>09.200.</t>
  </si>
  <si>
    <t>Pamatizglītība, vispārējā un profesionālā izglītība</t>
  </si>
  <si>
    <t>09.513.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</si>
  <si>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</si>
  <si>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</si>
  <si>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</si>
  <si>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</si>
  <si>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</si>
  <si>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</si>
  <si>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</si>
  <si>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</si>
  <si>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</si>
  <si>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</si>
  <si>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</si>
  <si>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</si>
  <si>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10.401.</t>
  </si>
  <si>
    <t>10.403.</t>
  </si>
  <si>
    <t>10.701.</t>
  </si>
  <si>
    <t>10.703.</t>
  </si>
  <si>
    <t>10.704.</t>
  </si>
  <si>
    <t>10.705.</t>
  </si>
  <si>
    <t>10.706.</t>
  </si>
  <si>
    <t>10.707.</t>
  </si>
  <si>
    <t>Sociālā māja un sociālie dzīvokļi</t>
  </si>
  <si>
    <t>Higienas centrs</t>
  </si>
  <si>
    <t>GMI un citi naudas maksājumi maznodrošinātām personām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</si>
  <si>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</si>
  <si>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</si>
  <si>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</si>
  <si>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</si>
  <si>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</si>
  <si>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Dotācija Tautas mākslas kolektīviem</t>
  </si>
  <si>
    <t>Pilsētas nozīmes pasākumi</t>
  </si>
  <si>
    <t xml:space="preserve">Izpildvaras institūcija </t>
  </si>
  <si>
    <t>Pamatkapitāla palielināšana SIA "Zemgales Olimpiskais centrs"</t>
  </si>
  <si>
    <t>Pārējā citur neklasificētā kultūra</t>
  </si>
  <si>
    <t>Bērnu un ģimenes atbalsta centrs</t>
  </si>
  <si>
    <t>Pārējais citur neklasificēts atbalsts sociāli atstumtām personām</t>
  </si>
  <si>
    <t>01.122.</t>
  </si>
  <si>
    <t>01.123.</t>
  </si>
  <si>
    <t xml:space="preserve">Tūrisms </t>
  </si>
  <si>
    <t>04.900.</t>
  </si>
  <si>
    <t>Pārējā citur neklasificētā ekonomiskā darbība</t>
  </si>
  <si>
    <t>Projektu sagatavošana un izstrāde</t>
  </si>
  <si>
    <t>10.402.</t>
  </si>
  <si>
    <t>04.733.</t>
  </si>
  <si>
    <t>07.000.</t>
  </si>
  <si>
    <t>Veselība</t>
  </si>
  <si>
    <t>Akcijas un cita līdzdalība komersantu pašu kapitālā</t>
  </si>
  <si>
    <t>Ieņēmumu pārsniegums pār izdevumiem</t>
  </si>
  <si>
    <t>07.450.</t>
  </si>
  <si>
    <t>Teritoriju un mājokļu apsaimniekošana</t>
  </si>
  <si>
    <t>F40320020</t>
  </si>
  <si>
    <t>Saņemto ilgtermiņa aizņēmumu atmaksa</t>
  </si>
  <si>
    <t>04.901.</t>
  </si>
  <si>
    <t>04.904.</t>
  </si>
  <si>
    <t>04.905.</t>
  </si>
  <si>
    <t>04.902.</t>
  </si>
  <si>
    <t>07.100.</t>
  </si>
  <si>
    <t>07.200.</t>
  </si>
  <si>
    <t>Ambulatoro ārstniecības iestāžu darbība un pakalpojumi</t>
  </si>
  <si>
    <t>07.300.</t>
  </si>
  <si>
    <t>Slimnīcu pakalpojumi</t>
  </si>
  <si>
    <t>09.101.</t>
  </si>
  <si>
    <t>09.530.</t>
  </si>
  <si>
    <t>09.531.</t>
  </si>
  <si>
    <t>09.532.</t>
  </si>
  <si>
    <t>09.520.</t>
  </si>
  <si>
    <t>grozījumi dotācijai no vispārējiem ieņēmumiem</t>
  </si>
  <si>
    <t xml:space="preserve">valsts budžeta transferti </t>
  </si>
  <si>
    <t>grozījumi  valsts budžeta  transfertiem pašvaldībām</t>
  </si>
  <si>
    <t>pašvaldību budžēta transferti</t>
  </si>
  <si>
    <t>grozījumi pašvaldību budžeta transfertiem</t>
  </si>
  <si>
    <t>05.102.</t>
  </si>
  <si>
    <t>Veselības veicināšanas pasākumi</t>
  </si>
  <si>
    <t>08.105.</t>
  </si>
  <si>
    <t>09.813.</t>
  </si>
  <si>
    <t>Sociālā palīdzība ģimenēm ar bērniem un vardarbībā cietušo bērnu rehalibitācija</t>
  </si>
  <si>
    <t>Atbalsts bezdarba gadījumā</t>
  </si>
  <si>
    <t xml:space="preserve">           Pamatbudžeta izdevumu grozījumi</t>
  </si>
  <si>
    <t xml:space="preserve"> Dotācija no vispārējiem ieņēmumiem</t>
  </si>
  <si>
    <t>Pašvaldību budžeta transferti</t>
  </si>
  <si>
    <t>01.124.</t>
  </si>
  <si>
    <t>Ārstniecības līdzekļi</t>
  </si>
  <si>
    <t>Baltijas jūras transnacionālās sadarbības programmas projekts    "Energoefektīva un saskaņota darbība pilsētas attīstībā"</t>
  </si>
  <si>
    <t xml:space="preserve"> 2.pielikums</t>
  </si>
  <si>
    <t>3.pielikums</t>
  </si>
  <si>
    <t>Grozījumi</t>
  </si>
  <si>
    <t>Reliģisko organizāciju un citu biedrību  un nodibinājumu pakalpojumi</t>
  </si>
  <si>
    <t>08.401.</t>
  </si>
  <si>
    <t>01.111.</t>
  </si>
  <si>
    <t>01.112.</t>
  </si>
  <si>
    <t>Projekts "Speciālistu piesaiste Jelgavas pilsētas domes administratīvās kapacitātes paaugstināšanai"</t>
  </si>
  <si>
    <t>Izpildvaras un likumdošanas varas institūcijas</t>
  </si>
  <si>
    <t>04.906.</t>
  </si>
  <si>
    <t>04.519.</t>
  </si>
  <si>
    <t>08.405.</t>
  </si>
  <si>
    <t>08.403.</t>
  </si>
  <si>
    <t>Subsīdija nodibinājumam "Kultūras tālākizglītības atbalsta fonds"</t>
  </si>
  <si>
    <t>08.402.</t>
  </si>
  <si>
    <t>Kultūras padomes finansētie pasākumi</t>
  </si>
  <si>
    <t>04.908.</t>
  </si>
  <si>
    <t>08.293.</t>
  </si>
  <si>
    <t>Latvijas - Lietuvas pārrobežu sadarbības programmas projekts "Šauļu un Jelgavas pilsētas pašvaldību sadarbība kultūras un sporta dzīves pilnveidošanā"</t>
  </si>
  <si>
    <t>04.909.</t>
  </si>
  <si>
    <t>09.521.</t>
  </si>
  <si>
    <t>04.910.</t>
  </si>
  <si>
    <t>Pamatkapitāla palielināšana SIA "Jelgavas poliklīnika"</t>
  </si>
  <si>
    <t xml:space="preserve">Pamatkapitāla palielināšanai SIA "Jelgavas pilsētas slimnīca" </t>
  </si>
  <si>
    <t xml:space="preserve">Pamatkapitāla palielināšanai SIA "Jelgavas poliklīnika" </t>
  </si>
  <si>
    <t xml:space="preserve">Nekustamā īpašuma nodokļa un citu pašvaldības ieņēmumu administrēšana </t>
  </si>
  <si>
    <r>
      <t xml:space="preserve">Pārējie citur neklasificētie vispārēja rakstura transferti starp dažādiem valsts pārvaldes līmeņiem - </t>
    </r>
    <r>
      <rPr>
        <b/>
        <i/>
        <sz val="10"/>
        <rFont val="Times New Roman"/>
        <family val="1"/>
      </rPr>
      <t>Izdevumi neparedzētiem gadījumiem</t>
    </r>
  </si>
  <si>
    <r>
      <t>Pārējo vispārējas nozīmes dienestu darbība un pakalpojumi -</t>
    </r>
    <r>
      <rPr>
        <b/>
        <i/>
        <sz val="10"/>
        <rFont val="Times New Roman"/>
        <family val="1"/>
      </rPr>
      <t xml:space="preserve"> Centralizēto datoru un datortīklu uzturēšana</t>
    </r>
  </si>
  <si>
    <r>
      <t xml:space="preserve">Pašvaldības budžeta parāda darījumi - </t>
    </r>
    <r>
      <rPr>
        <b/>
        <i/>
        <sz val="10"/>
        <rFont val="Times New Roman"/>
        <family val="1"/>
      </rPr>
      <t>Parāda procentu nomaksa</t>
    </r>
  </si>
  <si>
    <t>03.110.</t>
  </si>
  <si>
    <t>ERAF projekts "Ielu infrastruktūras attīstība un Driksas upes krastmalas sakārtošana"</t>
  </si>
  <si>
    <t>Zemes reformas darbība, zemes īpašuma un lietošanas tiesību pārveidošana</t>
  </si>
  <si>
    <t>ESF projekts "Jelgavas pilsētas pašvaldības kapacitātes stiprināšana ES un citu ārvalstu finanšu palīdzības līdzfinansēto projektu sagatavošanā un īstenošanā"</t>
  </si>
  <si>
    <t>04.911.</t>
  </si>
  <si>
    <t>Subsīdija nodibinājumam "Sporta talākizglītības atbalsta fonds"</t>
  </si>
  <si>
    <t>Kultūras centri, nami un klubi</t>
  </si>
  <si>
    <t>08.231.</t>
  </si>
  <si>
    <t>08.232.</t>
  </si>
  <si>
    <t>08.241.</t>
  </si>
  <si>
    <t>08.243.</t>
  </si>
  <si>
    <t>Jelgavas kamerorķestris</t>
  </si>
  <si>
    <t>Jelgavas Ā.Alunāna teātra darbības nodrošināšana</t>
  </si>
  <si>
    <t>Dotācijas projektu realizācijai NVO</t>
  </si>
  <si>
    <t>Pirmskolas izglītība</t>
  </si>
  <si>
    <t>Jelgavas vispārizglītojošās skolas</t>
  </si>
  <si>
    <t>09.222.2</t>
  </si>
  <si>
    <t>09.219.1.</t>
  </si>
  <si>
    <t>09.219.2.</t>
  </si>
  <si>
    <t>09.222.3</t>
  </si>
  <si>
    <t>Latvijas - Lietuvas pārrobežu sadarbības programmas projekts "Radošo industriju attīstība Latvijas un Lietuvas pierobežu reģionā"</t>
  </si>
  <si>
    <t>09.222.5.</t>
  </si>
  <si>
    <t>09.222.6.</t>
  </si>
  <si>
    <t>Jelgavas sporta skolas- SSC</t>
  </si>
  <si>
    <t>Subsīdija nodibinājumam "Izglītības atbalsta fonds"</t>
  </si>
  <si>
    <t>09.522.</t>
  </si>
  <si>
    <t>Pārējā izglītības vadība</t>
  </si>
  <si>
    <t>09.811.</t>
  </si>
  <si>
    <t>09.812.</t>
  </si>
  <si>
    <t>ERAF projekts "Izglītības iestāžu informatizācija Jelgavas pilsētā"</t>
  </si>
  <si>
    <t>Palīdzība veciem cilvēkiem</t>
  </si>
  <si>
    <t>10.404.</t>
  </si>
  <si>
    <t>10.405.</t>
  </si>
  <si>
    <t>ESF projekts "Sociālās rehabilitācijas un motivācijas programma sociālās atstumtības riskam pakļautiem bērniem un jauniešiem Jelgavas pilsētā"</t>
  </si>
  <si>
    <t>Pilsētas sanitārā tīrīšana (SIA "Zemgales EKO" funkcija)</t>
  </si>
  <si>
    <t>Pirmskolas  izglītības  iestāžu  uzturēšana</t>
  </si>
  <si>
    <t>ERAF  projekts  "Mācību aprīkojuma modernizācija un infrastruktūras uzlabošana Jelgavas Amatu   vidusskolā"</t>
  </si>
  <si>
    <t>Interešu un profesionālās  ievirzes  izglītība</t>
  </si>
  <si>
    <t>Līmeņos  nedefinēta  izglītība pieaugušajiem</t>
  </si>
  <si>
    <t>Sociālās un medicīniskās  aprūpes  centrs</t>
  </si>
  <si>
    <t>ESF projekts "Sociālās rehabilitācijas programma Jelgavas pilsētā dzīvojošām romu tautības ģimenēm ar pirmsskolas vai skolas vecuma bērniem"</t>
  </si>
  <si>
    <t>10.504</t>
  </si>
  <si>
    <t>budžeta iestāžu ieņēmumi</t>
  </si>
  <si>
    <t>grozījumi no budžeta iestāžu ieņēmumiem</t>
  </si>
  <si>
    <t>01.600.</t>
  </si>
  <si>
    <r>
      <t xml:space="preserve">Pārējie iepriekš neklasificētie vispārējie vadības dienesti - </t>
    </r>
    <r>
      <rPr>
        <b/>
        <i/>
        <sz val="10"/>
        <rFont val="Times New Roman"/>
        <family val="1"/>
      </rPr>
      <t>vēlēšanu organizēšana</t>
    </r>
  </si>
  <si>
    <t>03.204.</t>
  </si>
  <si>
    <t>Latvijas-Lietuvas pārrobežu sadarbības programmas projekts "Glābšanas komandas izveide plūdu situāciju novēršanai Latvijas un Lietuvas pierobežas reģionā"</t>
  </si>
  <si>
    <t>04.520.</t>
  </si>
  <si>
    <t>ERAF projekts " Lietuvas šosejas rekonstrukcija posmā no Miera ielas līdz Rūpniecības ielai"</t>
  </si>
  <si>
    <t>04.734.</t>
  </si>
  <si>
    <t>Dotācija "Zemgales plānošanas reģions"</t>
  </si>
  <si>
    <t>04.914.</t>
  </si>
  <si>
    <t>ESF projekts "Jelgavas pilsētas pašvaldības kapacitātes stiprināšana - II kārta"</t>
  </si>
  <si>
    <t>05.300.</t>
  </si>
  <si>
    <t>Vides piesārņojuma novēršana un samazināsāna</t>
  </si>
  <si>
    <t>Latvijas -Lietuvas pārrobežu sadarbības programmas projekts "Ekoloģisko avāriju likvidēšana un vides piesārņojuma mazināšana Lielupes baseina teritorijā"</t>
  </si>
  <si>
    <t>06.201.</t>
  </si>
  <si>
    <t xml:space="preserve">P/ie "Pilsētsaimniecība" </t>
  </si>
  <si>
    <t>06.606.</t>
  </si>
  <si>
    <t>Ar pašvaldības teritoriju saistīto normatīvo aktu un standartu sagatavošana un ieviešana</t>
  </si>
  <si>
    <t>07.622.</t>
  </si>
  <si>
    <t>Latvijas-Lietuvas pārrobežu sadarbības projekts "Veseli jaunieši"</t>
  </si>
  <si>
    <t>Muzeji un izstādes</t>
  </si>
  <si>
    <t>P/ie "Kultūra"</t>
  </si>
  <si>
    <t>P/ie "Kultūra" pasākumi</t>
  </si>
  <si>
    <t>08.242.</t>
  </si>
  <si>
    <t>Jelgavas bigbends</t>
  </si>
  <si>
    <t>09.101.13.</t>
  </si>
  <si>
    <t>Pirmsskolas izglītības iestāde Ganību ielā 66, Jelgavā</t>
  </si>
  <si>
    <t>09.210.</t>
  </si>
  <si>
    <t>Vispārējā izglītība</t>
  </si>
  <si>
    <t>09.219.3.</t>
  </si>
  <si>
    <t>Profesionālā vidējā izglītība</t>
  </si>
  <si>
    <t>09.222.</t>
  </si>
  <si>
    <t>Citi interešu izglītības pasākumi, t.sk. Bērnu un jauniešu izglītības centrs "Junda"</t>
  </si>
  <si>
    <t>09.518.</t>
  </si>
  <si>
    <t>Atbalsta fondi</t>
  </si>
  <si>
    <t xml:space="preserve">P/ie "Zemgales reģiona Kompetenču attīstības centrs" </t>
  </si>
  <si>
    <t>P/ie "Jelgavas Izglītības pārvalde"</t>
  </si>
  <si>
    <t>P/ie Bāriņtiesa</t>
  </si>
  <si>
    <t>Atkarību profilakses kabinets</t>
  </si>
  <si>
    <t>P/ie  "Jelgavas pilsētas nakts patversme"</t>
  </si>
  <si>
    <t>10.709.</t>
  </si>
  <si>
    <t>P/ie "Jelgavas sociālo lietu pārvalde"</t>
  </si>
  <si>
    <r>
      <t>Pārējā citur neklasificētā sociālā aizsardzība</t>
    </r>
    <r>
      <rPr>
        <b/>
        <i/>
        <sz val="10"/>
        <rFont val="Times New Roman"/>
        <family val="1"/>
      </rPr>
      <t xml:space="preserve"> </t>
    </r>
  </si>
  <si>
    <t>10.921.</t>
  </si>
  <si>
    <t>Pabalsti  ārkārtas gadījumos, citi  pabalsti un  kompensācijas</t>
  </si>
  <si>
    <t xml:space="preserve">Akcijas un cita līdzdalība komersantu pašu kapitālā </t>
  </si>
  <si>
    <t>Pamatkapitāla palielināšana SIA "Medicīnas sabiedrība OPTIMA 1"</t>
  </si>
  <si>
    <t>Pamatkapitāla palielināšana SIA "Jelgavas ūdens"</t>
  </si>
  <si>
    <t>10.900.</t>
  </si>
  <si>
    <t>Budžeta iestāžu ieņēmumi</t>
  </si>
  <si>
    <t>Pamatkapitāla palielināšana SIA "Jelgavas Ūdens"</t>
  </si>
  <si>
    <t>P/ie"Jelgavas bērnu sociālās aprūpes centrs"</t>
  </si>
  <si>
    <t>P/ie "Jelgavas Izglītības pārvalde"  projektu realizācija</t>
  </si>
  <si>
    <t>09.106.</t>
  </si>
  <si>
    <t>Pirmsskolas izglītības iestāde Skautu ielā 1A, Jelgavā</t>
  </si>
  <si>
    <t>10.705.2</t>
  </si>
  <si>
    <t>Domes priekšsēdētājs</t>
  </si>
  <si>
    <t>A.Rāviņš</t>
  </si>
  <si>
    <t>P/ie "Jelgavas bērnu sociālās aprūpes centrs" krīzes centrs</t>
  </si>
  <si>
    <t xml:space="preserve">P/ie "Pašvaldības iestāžu centralizētā grāmatvedība" </t>
  </si>
  <si>
    <r>
      <t>Policijas dienesti -</t>
    </r>
    <r>
      <rPr>
        <b/>
        <i/>
        <sz val="10"/>
        <rFont val="Times New Roman"/>
        <family val="1"/>
      </rPr>
      <t xml:space="preserve"> p/ie "Jelgavas pilsētas pašvaldības policija"</t>
    </r>
  </si>
  <si>
    <t>P/ie "Jelgavas reģionālais tūrisma centrs"</t>
  </si>
  <si>
    <t>ESF projekts "Jelgavas pilsētas attīstības plānošanas kapacitātes paaugstināšana"</t>
  </si>
  <si>
    <t>Projektu sagatavošana un teritoriju attīstība</t>
  </si>
  <si>
    <t xml:space="preserve">P/ie "Sporta servisa centrs" </t>
  </si>
  <si>
    <t xml:space="preserve">P/ie "Jelgavas Ģ.Eliasa Vēstures un mākslas muzejs" </t>
  </si>
  <si>
    <t xml:space="preserve">P/ie "Zemgales INFO" </t>
  </si>
  <si>
    <t>09.105.</t>
  </si>
  <si>
    <t>ERAF projekts "Jelgavas pilsētas pašvaldības PII "Vārpiņa" rekonstrukcija un energoefektivitātes paaugstināšana"</t>
  </si>
  <si>
    <t>05.304.</t>
  </si>
  <si>
    <t>05.601.</t>
  </si>
  <si>
    <t>Latvijas -Lietuvas pārrobežu sadarbības programmas projekts "Vides izpratnes veicināšana Jelgavas un Šauļu pilsētās"</t>
  </si>
  <si>
    <t>06.401.</t>
  </si>
  <si>
    <t>06.402.</t>
  </si>
  <si>
    <t>KPFI projekts "Siltumnīcefektu gāzu emisiju samazināšana Jelgavas pilsētas pašvaldības publisko teritoriju apgaismojuma infrastruktūrā otrā kārta"</t>
  </si>
  <si>
    <t>09.107.</t>
  </si>
  <si>
    <t>04.916.</t>
  </si>
  <si>
    <t>04.521.</t>
  </si>
  <si>
    <t xml:space="preserve">ERAF projekts "Transporta infrastruktūras izbūve industriālo teritoriju attīstības nodrošināšanai Jelgavā" </t>
  </si>
  <si>
    <t>Zvērināto auditoru pakalpojumi un grāmatvedības programmas "Horizon" uzturēšana</t>
  </si>
  <si>
    <t>Pašvaldības operatīvās informācijas centrs (p/ie"Pilsētsaimniecība" funkcija)</t>
  </si>
  <si>
    <t>Centrālās Baltijas jūras reģiona INTERREG IV A programmas projekts "Centrālbaltijas velotīkls"</t>
  </si>
  <si>
    <t>Latvijas - Lietuvas pārrobežu sadarbības programmas projekts "Zinātnes un ražošanas sadarbības veidošana Jelgavā un Šauļos"</t>
  </si>
  <si>
    <t>ERAF projekts "Pasta salas labiekārtošana un upju kā turisma un aktīvās atpūtas produkta veidošana Jelgavā"</t>
  </si>
  <si>
    <t>ERAF projekts „Jāņa kolektora rekonstrukcija plūdu draudu novēršanai un samazināšanai Jelgavā”</t>
  </si>
  <si>
    <t>Ielu, laukumu, publisko dārzu un parku tīrīšana un atkritumu savākšana (p/ie "Pilsētsaimniecība"  funkcija)</t>
  </si>
  <si>
    <t>P/ie "Jelgavas zinātniskā bibliotēka"</t>
  </si>
  <si>
    <t>Dotācijas reliģiskajām un citām biedrībām un nodibinājumiem - finanšu nodaļa</t>
  </si>
  <si>
    <t>09.101.14.</t>
  </si>
  <si>
    <t>Pirmsskolas izglītības iestāde Skautu ielā 1a, Jelgavā</t>
  </si>
  <si>
    <t>Internātpamatskolas un šo skolu projektu īstenošana</t>
  </si>
  <si>
    <t>Jelgavas vispārizglītojošo skolu projektu īstenošana</t>
  </si>
  <si>
    <r>
      <t xml:space="preserve"> </t>
    </r>
    <r>
      <rPr>
        <i/>
        <sz val="10"/>
        <rFont val="Times New Roman"/>
        <family val="1"/>
      </rPr>
      <t xml:space="preserve">Jelgavas Amatu vidusskola </t>
    </r>
  </si>
  <si>
    <t>Jelgavas Amatu vidusskolas projektu īstenošana</t>
  </si>
  <si>
    <t>Bērnu un jauniešu izglītības centra "Junda" projektu īstenošana</t>
  </si>
  <si>
    <t>P/ie  "Zemgales  reģiona  Kompetenču attīstības centrs" projektu īstenošana</t>
  </si>
  <si>
    <t>Naktspatversme</t>
  </si>
  <si>
    <t>Braukšanas maksas atvieglojumi skolēniem sabiedriskajā transportā -finanšu nodaļa</t>
  </si>
  <si>
    <t>Subsīdija nodibinājumam "Jāņa Bisenieka fonds"</t>
  </si>
  <si>
    <t xml:space="preserve">JELGAVAS PILSĒTAS PAŠVALDĪBAS 2014.GADA BUDŽETS  </t>
  </si>
  <si>
    <t>Plāns 2014.gadam</t>
  </si>
  <si>
    <t xml:space="preserve">JELGAVAS PAŠVALDĪBAS 2014.GADA BUDŽETS  </t>
  </si>
  <si>
    <t>2014.gada izdevumu plāns</t>
  </si>
  <si>
    <t>ERAF projekts "Satiksmes termināla apkalpošanai nepieciešamās ielu infrastruktūras izbūve Jelgavā "</t>
  </si>
  <si>
    <t>P/ie "Jelgavas Izglītības pārvalde" iekļaujošas izglītības atbalsta centrs</t>
  </si>
  <si>
    <t>09.812.3.</t>
  </si>
  <si>
    <t>naudas līdzekļu atlikums uz 31.12.2013</t>
  </si>
  <si>
    <t>03.205.</t>
  </si>
  <si>
    <t>Projekts "Ikdienas negadījumu un katastrofu novēršana Baltijā"</t>
  </si>
  <si>
    <t>04.522.</t>
  </si>
  <si>
    <t>NL atlikums</t>
  </si>
  <si>
    <t>Biedrības "Zemgales reģionālās enerģētikas aģentūras" darbības nodrošināšana</t>
  </si>
  <si>
    <t>04.523.</t>
  </si>
  <si>
    <t>Projekts "Lietuvas šosejas posma, no Viskaļu ielas līdz pilsētas adminsitratīvajai teritorijai, asfalta seguma atjaunošana"</t>
  </si>
  <si>
    <t>05.305.</t>
  </si>
  <si>
    <t>KPFI programmas projekts "Elektromobiļu iegāde Jelgavas pilsētas pašvaldības vajadzībām siltumnīcefekta gāzu emisiju mazināšanai pilsētā"</t>
  </si>
  <si>
    <t>08.106.</t>
  </si>
  <si>
    <t>Projekts "Tavs laiks kopā ar "Ghetto games""</t>
  </si>
  <si>
    <t>09.108.</t>
  </si>
  <si>
    <t>Projekts "Jelgavas pilsētas pašvaldības PII "Rotaļa" rekonstrukcija - V kārta"</t>
  </si>
  <si>
    <t>09.109.</t>
  </si>
  <si>
    <t>Projekts "Jelgavas pilsētas pašvaldības PII Skautu ielā 1a, Jelgavā, rekonstrukcija"</t>
  </si>
  <si>
    <t>Projekts "Jelgavas pilsētas pašvaldības PII izveide Ganību ielā 66, Jelgavā"</t>
  </si>
  <si>
    <t>Projekts "Jelgavas 1.internātpamaskolas rekonstrukcija"</t>
  </si>
  <si>
    <t>09.216.</t>
  </si>
  <si>
    <t>09.217.</t>
  </si>
  <si>
    <t>Projekts "Sporta inventāra iegāde Jelgavas pilsētas pašvaldības izglītības iestādēm"</t>
  </si>
  <si>
    <t>1. pielikums</t>
  </si>
  <si>
    <t xml:space="preserve">         JELGAVAS PILSĒTAS PAŠVALDĪBAS 2014.GADA BUDŽETS  </t>
  </si>
  <si>
    <t xml:space="preserve">           Pamatbudžeta ieņēmumi</t>
  </si>
  <si>
    <t>EUR</t>
  </si>
  <si>
    <t>Radītāju nosaukums</t>
  </si>
  <si>
    <t>2014.GADA PLĀNS</t>
  </si>
  <si>
    <t>GROZĪJUMI + vai -</t>
  </si>
  <si>
    <t xml:space="preserve"> I.  IEŅĒMUMI KOPĀ (1+2+3+4)</t>
  </si>
  <si>
    <t xml:space="preserve">1. Nodokļu ieņēmumi </t>
  </si>
  <si>
    <t xml:space="preserve">Iedzīvotāju ienākuma nodoklis 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</si>
  <si>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</si>
  <si>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</si>
  <si>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04.100.</t>
  </si>
  <si>
    <t xml:space="preserve">Nekustamā īpašuma nodoklis </t>
  </si>
  <si>
    <t>04.110.</t>
  </si>
  <si>
    <t xml:space="preserve">Nekustamā īpašuma nodoklis par zemi </t>
  </si>
  <si>
    <t>04.120.</t>
  </si>
  <si>
    <t xml:space="preserve">Nekustamā īpašuma nodoklis par ēkām  </t>
  </si>
  <si>
    <t>04.130.</t>
  </si>
  <si>
    <t>Nekustamā īpašuma nodoklis par mājokļiem</t>
  </si>
  <si>
    <t>05.410.</t>
  </si>
  <si>
    <t>Azartspēļu nodoklis</t>
  </si>
  <si>
    <t xml:space="preserve">2. Nenodokļu ieņēmumi </t>
  </si>
  <si>
    <t xml:space="preserve">Ieņēmumi no uzņēmējdarbības un īpašuma </t>
  </si>
  <si>
    <t>08.620.</t>
  </si>
  <si>
    <t xml:space="preserve">Procentu ieņēmumi par kontu atlikumiem </t>
  </si>
  <si>
    <t xml:space="preserve">Valsts (pašvaldību) nodevas un kancelejas nodevas </t>
  </si>
  <si>
    <t>09.400.</t>
  </si>
  <si>
    <t>Valsts nodevas, kuras ieskaita pašvaldību budžetā</t>
  </si>
  <si>
    <t>09.430.</t>
  </si>
  <si>
    <t xml:space="preserve">Valsts nodeva par uzvārda,vārda un tautības ieraksta maiņu personu apliecinošos dokumentos </t>
  </si>
  <si>
    <t>09.450.</t>
  </si>
  <si>
    <t>Valsts nodeva par civilstāvokļa aktu reģistrēšanu, grozīšanu un papildināšanu</t>
  </si>
  <si>
    <t>09.460.</t>
  </si>
  <si>
    <t>Valsts nodeva par speciālu atļauju (licenču) izsniegšanu</t>
  </si>
  <si>
    <t>09.490.</t>
  </si>
  <si>
    <t>Pārējās valsts nodevas, kuras ieskaita pašvaldību budžetā</t>
  </si>
  <si>
    <t>09.500.</t>
  </si>
  <si>
    <t>Pašvaldību nodevas</t>
  </si>
  <si>
    <t>Pašvaldības nodeva par domes izstrādāto oficiālo dokumentu un apstiprinātu to kopiju izsniegšanu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</si>
  <si>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</si>
  <si>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</si>
  <si>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</si>
  <si>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</si>
  <si>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</si>
  <si>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</si>
  <si>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  un sludinājumu izvietošanu publiskās vietās</t>
  </si>
  <si>
    <t>Pašvaldības nodeva par būvatļaujas saņemšanu</t>
  </si>
  <si>
    <t>09.529.</t>
  </si>
  <si>
    <t>Pārējās nodevas, ko uzliek pašvaldības</t>
  </si>
  <si>
    <t>Naudas sodi un sankcijas</t>
  </si>
  <si>
    <t>10.140.</t>
  </si>
  <si>
    <t>Naudas sodi, ko uzliek pašvaldības</t>
  </si>
  <si>
    <t>10.300.</t>
  </si>
  <si>
    <t>Soda sankcijas par vispārējiem nodokļu maksāšanas pārkāpumiem</t>
  </si>
  <si>
    <t>12.000.</t>
  </si>
  <si>
    <t>Pārējie nenodokļu ieņēmumi</t>
  </si>
  <si>
    <t>12.310.</t>
  </si>
  <si>
    <t>Ieņēmumi no privatizācijas</t>
  </si>
  <si>
    <t>12.311.</t>
  </si>
  <si>
    <t>Ieņēmumi no apbūvēta zemes gabala privatizācijas</t>
  </si>
  <si>
    <t>12.312.</t>
  </si>
  <si>
    <t>Ieņēmumi no dzīvojamo  māju  privatizācijas</t>
  </si>
  <si>
    <t>12.313.</t>
  </si>
  <si>
    <t>Ieņēmumi no neapbūvēta zemes gabala privatizācijas</t>
  </si>
  <si>
    <t>12.390.</t>
  </si>
  <si>
    <t>Citi dažādi nenodokļu ieņēmumi</t>
  </si>
  <si>
    <t>12.393.</t>
  </si>
  <si>
    <t>Piedzītie un labprātīgi atmaksātie līdzekļi</t>
  </si>
  <si>
    <t>12.399.</t>
  </si>
  <si>
    <t>Pārējie dažādi nenodokļu ieņēmumi, kas nav iepriekš klasificēti šajā klasifikācijā</t>
  </si>
  <si>
    <t>13.000.</t>
  </si>
  <si>
    <t xml:space="preserve">Ieņēmumi no pašvaldības īpašuma iznomāšanas, pārdošanas un no nodokļu pamatparāda kapitalizācijas </t>
  </si>
  <si>
    <t>13.100.</t>
  </si>
  <si>
    <t>Ieņēmumi no ēku un būvju īpašuma pārdošanas</t>
  </si>
  <si>
    <t>13.200.</t>
  </si>
  <si>
    <t>Ieņēmumi no zemes, meža īpašuma pārdošanas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</si>
  <si>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</si>
  <si>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</si>
  <si>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</si>
  <si>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</si>
  <si>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personām un no budžeta nefinansētām iestādēm</t>
  </si>
  <si>
    <t>18.000.</t>
  </si>
  <si>
    <t>18.600.</t>
  </si>
  <si>
    <t>Pašvaldību saņemtie transferti no valsts budžeta</t>
  </si>
  <si>
    <t>18.620.</t>
  </si>
  <si>
    <t>Pašvaldību saņemtie valsts budžeta transferti noteiktam mērķim</t>
  </si>
  <si>
    <t>18.630.</t>
  </si>
  <si>
    <t>Pašvaldību no valsts budžeta  iestādēm saņemtie transferti ES  politiku  instrumentu un pārējās ārvalstu  finanšu palīdzības līdzfinansētajiem projektiem (pasākumiem)</t>
  </si>
  <si>
    <t>18.690.</t>
  </si>
  <si>
    <t xml:space="preserve">Pārējie pašvaldību saņemtie valsts budžeta iestāžu transferti </t>
  </si>
  <si>
    <t>19.000.</t>
  </si>
  <si>
    <t>Pašvaldību budžetu transferti</t>
  </si>
  <si>
    <t>19.200.</t>
  </si>
  <si>
    <t xml:space="preserve">Pašvaldību saņemtie transferti no citām pašvaldībām </t>
  </si>
  <si>
    <t>4. Maksas pakalpojumi un citi pašu ieņēmumi</t>
  </si>
  <si>
    <t>21.000.</t>
  </si>
  <si>
    <t xml:space="preserve">Budžeta iestāžu ieņēmumi </t>
  </si>
  <si>
    <t>21.100.</t>
  </si>
  <si>
    <t>Budžeta iestādes ieņēmumi no ārvalstu finanšu palīdzības</t>
  </si>
  <si>
    <t>21.300.</t>
  </si>
  <si>
    <t xml:space="preserve">Ieņēmumi no budžeta iestāžu sniegtajiem maksas pakalpojumiem un citi pašu ieņēmumi </t>
  </si>
  <si>
    <t>21.340.</t>
  </si>
  <si>
    <t xml:space="preserve">Procentu ieņēmumi par maksas pakalpojumu un citu pašu ieņēmumu ieguldījumiem depozītā vai kontu atlikumiem </t>
  </si>
  <si>
    <t>21.350.</t>
  </si>
  <si>
    <t>Maksa par izglītības pakalpojumiem</t>
  </si>
  <si>
    <t>21.370.</t>
  </si>
  <si>
    <t>Ieņēmumi par dokumentu izsniegšanu un kancelejas pakalpojumiem</t>
  </si>
  <si>
    <t>21.380.</t>
  </si>
  <si>
    <t>Ieņēmumi par nomu un īri</t>
  </si>
  <si>
    <t>21.390.</t>
  </si>
  <si>
    <t>Ieņēmumi par pārējiem budžeta iestāžu sniegtajiem maksas pakalpojumiem</t>
  </si>
  <si>
    <t>21.490.</t>
  </si>
  <si>
    <t>Citi iepriekš neklasificētie pašu ieņēmumi</t>
  </si>
  <si>
    <t>II. FINANSĒŠANA</t>
  </si>
  <si>
    <t>F21010000</t>
  </si>
  <si>
    <t xml:space="preserve">Naudas līdzekļi </t>
  </si>
  <si>
    <t>F40020000</t>
  </si>
  <si>
    <t>Aizņēmumi</t>
  </si>
  <si>
    <t>PAVISAM RESURSI (I+II)</t>
  </si>
  <si>
    <t>PRECIZĒTAIS PLĀNS uz 23.10.2014.</t>
  </si>
  <si>
    <t>Precizētais plāns uz 23.10.2014.</t>
  </si>
  <si>
    <t>09.217.1</t>
  </si>
  <si>
    <t>Projekts "Kompleksi risinājumi siltumnīcefektu gāzu emisiju samazināšanai Jelgavas 1.internātskolā"</t>
  </si>
  <si>
    <t xml:space="preserve"> 5. pielikums</t>
  </si>
  <si>
    <t xml:space="preserve">                   INFORMĀCIJA PAR JELGAVAS PILSĒTAS PAŠVALDĪBAS ILGTERMIŅA SAISTĪBĀM  (EUR)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</si>
  <si>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</si>
  <si>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</si>
  <si>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</si>
  <si>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</si>
  <si>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</si>
  <si>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</si>
  <si>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</si>
  <si>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Euro</t>
  </si>
  <si>
    <t>periods</t>
  </si>
  <si>
    <t>Euro</t>
  </si>
  <si>
    <t>2028-2033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</si>
  <si>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</si>
  <si>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</si>
  <si>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</si>
  <si>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</si>
  <si>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</si>
  <si>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</si>
  <si>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01.05.2022.</t>
  </si>
  <si>
    <t>Valsts kase</t>
  </si>
  <si>
    <t>Autobusu iegāde</t>
  </si>
  <si>
    <t>20.12.2005.</t>
  </si>
  <si>
    <t>A2/1/05/709</t>
  </si>
  <si>
    <t>20.12.2015.</t>
  </si>
  <si>
    <t>Projekts "Drošais ceļš uz skolu"</t>
  </si>
  <si>
    <t>A2/1/05/710</t>
  </si>
  <si>
    <t>P.O.Kalpaka, Svētes ielu remonts</t>
  </si>
  <si>
    <t>A2/1/05/711</t>
  </si>
  <si>
    <t>09.02.2006.</t>
  </si>
  <si>
    <t>A2/1/10/477</t>
  </si>
  <si>
    <t>20.01.2016.</t>
  </si>
  <si>
    <t>4.vsk piebūves projektēšana</t>
  </si>
  <si>
    <t>17.03.2006.</t>
  </si>
  <si>
    <t>A2/1/10/474</t>
  </si>
  <si>
    <t>Skolu dabas zinātņu kabinetu renovācija</t>
  </si>
  <si>
    <t>A2/1/10/475</t>
  </si>
  <si>
    <t>Sv.Trīsvienības baznīcas torņa rekonstrukcijas projekts</t>
  </si>
  <si>
    <t>A2/1/10/476</t>
  </si>
  <si>
    <t>Elektrotīklu pirkšana</t>
  </si>
  <si>
    <t>A2/1/10/487</t>
  </si>
  <si>
    <t>Slimnīcas operāciju bloka remonts</t>
  </si>
  <si>
    <t>27.06.2006.</t>
  </si>
  <si>
    <t>A2/1/10/472</t>
  </si>
  <si>
    <t>ERAF projekta realizācija ar SAC "Jelgava"</t>
  </si>
  <si>
    <t>A2/1/10/473</t>
  </si>
  <si>
    <t>Stāvlaukuma un ielu rekonstrukcija</t>
  </si>
  <si>
    <t>A2/1/10/471</t>
  </si>
  <si>
    <t>Peldu ielas izbūve</t>
  </si>
  <si>
    <t>13.10.2006.</t>
  </si>
  <si>
    <t>A2/1/10/488</t>
  </si>
  <si>
    <t>PHARE projekts "Satiksmes drošība pie skolām"</t>
  </si>
  <si>
    <t>A2/1/10/485</t>
  </si>
  <si>
    <t>Pašvaldību iestāžu ēku remonts</t>
  </si>
  <si>
    <t>21.06.2007.-</t>
  </si>
  <si>
    <t>A2/1/07/301</t>
  </si>
  <si>
    <t>20.01.2017.</t>
  </si>
  <si>
    <t>Pamatkapitāla palielināšana SIA "JPSlimnīca", "JNMPS"</t>
  </si>
  <si>
    <t>A2/1/07/302</t>
  </si>
  <si>
    <t>Pamatkapitāla palielināšana SIA "ZOC"</t>
  </si>
  <si>
    <t>A2/1/07/303</t>
  </si>
  <si>
    <t>Pilsētas ielu izbūve, renovācija un remonts</t>
  </si>
  <si>
    <t>A2/1/07/304</t>
  </si>
  <si>
    <t>Infrastruktūras objektu rekonstrukcija un izbūve</t>
  </si>
  <si>
    <t>A2/1/07/305</t>
  </si>
  <si>
    <t>ES fondu atbalstīto projektu priekšfinansējums un līdzfinansējums</t>
  </si>
  <si>
    <t>A2/1/07/306</t>
  </si>
  <si>
    <t>Energoefektivitātes paaugstināšana 4.vsk., 6.vsk, 4.psk, 1.intern.psk.</t>
  </si>
  <si>
    <t>11.04.2008.-</t>
  </si>
  <si>
    <t>A2/1/10/470</t>
  </si>
  <si>
    <t>20.02.2022.</t>
  </si>
  <si>
    <t>Projekts "Biznesa inkubatora izveide"</t>
  </si>
  <si>
    <t>A2/1/10/468</t>
  </si>
  <si>
    <t>Pamatkapitāla palielināšana pašvaldības SIA</t>
  </si>
  <si>
    <t>A2/1/10/469</t>
  </si>
  <si>
    <t>Pilsētas ielu un infrastruktūras objektu renovācija</t>
  </si>
  <si>
    <t>A2/1/10/467</t>
  </si>
  <si>
    <t>Dzīvojamā fonda iegāde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</si>
  <si>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</si>
  <si>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</si>
  <si>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</si>
  <si>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</si>
  <si>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</si>
  <si>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</si>
  <si>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</si>
  <si>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</si>
  <si>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</si>
  <si>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</si>
  <si>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</t>
  </si>
  <si>
    <t>A2/1/10/464</t>
  </si>
  <si>
    <t>20.08.2022.</t>
  </si>
  <si>
    <t xml:space="preserve">Atraktīvu un pieejamu muzeju attīstība Zemgalē un 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</si>
  <si>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</si>
  <si>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</si>
  <si>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</si>
  <si>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</si>
  <si>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</si>
  <si>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</si>
  <si>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</si>
  <si>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</si>
  <si>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</si>
  <si>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</si>
  <si>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</si>
  <si>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</si>
  <si>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20.07.2023.</t>
  </si>
  <si>
    <t>Lielupes gultnes tīrīšana un labā krasta aizsargdambja atjaunošana</t>
  </si>
  <si>
    <t>25.08.2009.-</t>
  </si>
  <si>
    <t>A2/1/11/43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</si>
  <si>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</si>
  <si>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</si>
  <si>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</si>
  <si>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</si>
  <si>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</si>
  <si>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</si>
  <si>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</si>
  <si>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</si>
  <si>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</si>
  <si>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</si>
  <si>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</si>
  <si>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</si>
  <si>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 Rūpniecības - Atmodas ielas posmā</t>
  </si>
  <si>
    <t>20.05.2010-</t>
  </si>
  <si>
    <t>A2/1/10/334</t>
  </si>
  <si>
    <t>Sadarbība mācību programmu kvalitātes uzlabošana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</si>
  <si>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</si>
  <si>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</si>
  <si>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</si>
  <si>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</si>
  <si>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</si>
  <si>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</si>
  <si>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</si>
  <si>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</si>
  <si>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</si>
  <si>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</si>
  <si>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</si>
  <si>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</si>
  <si>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</si>
  <si>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</si>
  <si>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</si>
  <si>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</si>
  <si>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11.10.2010-</t>
  </si>
  <si>
    <t>A2/1/11/34</t>
  </si>
  <si>
    <t>29.07.2010-20.03.2024</t>
  </si>
  <si>
    <t>A2/1/10/599</t>
  </si>
  <si>
    <t>01.09.2010-20.03.2024</t>
  </si>
  <si>
    <t>A2/1/10/708</t>
  </si>
  <si>
    <t>Jelgavas vecpilsētas atjaunošana un pielāgošana</t>
  </si>
  <si>
    <t>A2/1/10/709</t>
  </si>
  <si>
    <t>27.08.2010-20.03.2024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</si>
  <si>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</si>
  <si>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</si>
  <si>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</si>
  <si>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</si>
  <si>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</si>
  <si>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</si>
  <si>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</si>
  <si>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</si>
  <si>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</si>
  <si>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</si>
  <si>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</si>
  <si>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</si>
  <si>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</si>
  <si>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</si>
  <si>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Šauļu un Jelgavas pils.pašv. sadarb. kult. un sporta dzīves pilnv.</t>
  </si>
  <si>
    <t>13.05.2011-20.04.2025</t>
  </si>
  <si>
    <t>A2/1/11/204</t>
  </si>
  <si>
    <t>Radošo industriju attīstība Latvijas un Lietuvas pierobežas reģionā</t>
  </si>
  <si>
    <t>A2/1/11/205</t>
  </si>
  <si>
    <t>Meliorat. sist. rekonstrukc.cukura rūpn. skartajās terit. 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</si>
  <si>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</si>
  <si>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</si>
  <si>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</si>
  <si>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</si>
  <si>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</si>
  <si>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 Amatu vsk.</t>
  </si>
  <si>
    <t>07.12.2011-20.04.2025</t>
  </si>
  <si>
    <t>A2/1/11/760</t>
  </si>
  <si>
    <t>A2/1/11/761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</si>
  <si>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</si>
  <si>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</si>
  <si>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</si>
  <si>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</si>
  <si>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</si>
  <si>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</t>
  </si>
  <si>
    <t>16.11.2012. - 20.11.2026.</t>
  </si>
  <si>
    <t>A2/1/12/690</t>
  </si>
  <si>
    <t>Hidrotehnisko būvju rekonstrukcija plūdu draudu risku novēršana</t>
  </si>
  <si>
    <t>06.09.2012-20.09.2012.</t>
  </si>
  <si>
    <t>A2/1/12/493</t>
  </si>
  <si>
    <t>Ekoloģisko avāriju likvidēšana un vides piesārņojuma mazināšana</t>
  </si>
  <si>
    <t>12.07.2012.-20.07.2026.</t>
  </si>
  <si>
    <t>A2/1/12/345</t>
  </si>
  <si>
    <t>Centrālbaltijas Velotīkls</t>
  </si>
  <si>
    <t>31.08.2012.-20.08.2026.</t>
  </si>
  <si>
    <t>A2/1/12/479</t>
  </si>
  <si>
    <t>Veseli jaunieši</t>
  </si>
  <si>
    <t>10.07.2012.-20.07.2026.</t>
  </si>
  <si>
    <t>A2/1/12/333</t>
  </si>
  <si>
    <t>Glābšanas komandas izveide plūdu situāciju novēršana</t>
  </si>
  <si>
    <t>20.06.2012. - 20.06.2026.</t>
  </si>
  <si>
    <t>A2/1/12/267</t>
  </si>
  <si>
    <t>Lietuvas šosejas rekonstrukcija</t>
  </si>
  <si>
    <t>25.09.2012. - 20.09.2026.</t>
  </si>
  <si>
    <t>A2/1/12/532</t>
  </si>
  <si>
    <t>PII Skautu iela 1a</t>
  </si>
  <si>
    <t>14.05.2013. - 20.05.2033.</t>
  </si>
  <si>
    <t>A2/1/13/174</t>
  </si>
  <si>
    <t>iegāde</t>
  </si>
  <si>
    <t>PII "Vārpiņa" rekonstrukcija</t>
  </si>
  <si>
    <t>10.07.2013.-20.07.2033.</t>
  </si>
  <si>
    <t>A2/1/13/341</t>
  </si>
  <si>
    <t>Vides izpratnes veicināšana Jelgavas un Šauļu pilsētās</t>
  </si>
  <si>
    <t>07.08.2013. - 20.07.2033.</t>
  </si>
  <si>
    <t>A2/1/13/395</t>
  </si>
  <si>
    <t>Ielu apgaismojums - p/ie "Pilsētsaimniecība"</t>
  </si>
  <si>
    <t>27.08.2013.-20.08.2033.</t>
  </si>
  <si>
    <t>A2/1/13/432</t>
  </si>
  <si>
    <t>PII Ganību ielā 66 rekonstrukcija - II kārta</t>
  </si>
  <si>
    <t>27.08.2013.- 20.08.2033.</t>
  </si>
  <si>
    <t>A2/1/13/444</t>
  </si>
  <si>
    <t>27.11.2013.- 20.11.2033.</t>
  </si>
  <si>
    <t>A2/1/13/996</t>
  </si>
  <si>
    <t>Ganību iela II kārta</t>
  </si>
  <si>
    <t>28.01.2014.- 20.01.2034</t>
  </si>
  <si>
    <t>A2/1/14/16</t>
  </si>
  <si>
    <t>Jāņa kolektora rekonstrukcija</t>
  </si>
  <si>
    <t>13.03.2014.- 20.03.2034</t>
  </si>
  <si>
    <t>A2/1/14/124</t>
  </si>
  <si>
    <t>Ganību iela I kārta</t>
  </si>
  <si>
    <t>27.03.2014.-20.03.2034.</t>
  </si>
  <si>
    <t>A2/1/14/185</t>
  </si>
  <si>
    <t>Transporta infrastruktūras izbūve - Aviācijas iela</t>
  </si>
  <si>
    <t>22.05.2014.- 20.05.2034.</t>
  </si>
  <si>
    <t>A2/1/14/330</t>
  </si>
  <si>
    <t>A2/1/14/336</t>
  </si>
  <si>
    <t>Satiksmes termināls</t>
  </si>
  <si>
    <t>25.05.2014.-20.05.2034.</t>
  </si>
  <si>
    <t>A2/1/14/341</t>
  </si>
  <si>
    <t>JPPPII "Rotaļa" rekonstrukcija</t>
  </si>
  <si>
    <t>15.07.2014. - 20.06.2014.</t>
  </si>
  <si>
    <t>A2/1/14/448</t>
  </si>
  <si>
    <t xml:space="preserve">JPPPII Skautu ielā 1a rekonstr. </t>
  </si>
  <si>
    <t>31.07.2014. - 20.07.2034.</t>
  </si>
  <si>
    <t>A2/1/14/512</t>
  </si>
  <si>
    <t>Kultūras nama jumta remonts</t>
  </si>
  <si>
    <t>19.08.2014. - 20.08.2034.</t>
  </si>
  <si>
    <t>A2/1/14/562</t>
  </si>
  <si>
    <t>KPFI Kompleksi risinājumi siltumnīcefekta gāzu emisiju samazināšanai 1.internātpamatskolā</t>
  </si>
  <si>
    <t>12.09.2014-20.09.2034.</t>
  </si>
  <si>
    <t>A2/1/14/652</t>
  </si>
  <si>
    <t>Jelgavas 1.internātpamatskolas rekonstrukcija</t>
  </si>
  <si>
    <t>12.09.2014.-20.09.2034.</t>
  </si>
  <si>
    <t>A2/1/14/653</t>
  </si>
  <si>
    <t>Projekti 2014 (iekļauti budžetā)</t>
  </si>
  <si>
    <t xml:space="preserve"> Kopā pamatsummas                  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</si>
  <si>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</si>
  <si>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</si>
  <si>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</si>
  <si>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</si>
  <si>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</si>
  <si>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T.sk.priekšfinansējuma atmaksas</t>
  </si>
  <si>
    <t>SAISTOŠAJIEM NOTEIKUMIEM Nr.14-21</t>
  </si>
  <si>
    <t>23.10.2014. lēmums Nr.16/2</t>
  </si>
  <si>
    <t>SAISTOŠAJIEM NOTEIKUMIEM Nr. 14-21</t>
  </si>
  <si>
    <t xml:space="preserve">23.10.2014.lēmums Nr.16/3  </t>
  </si>
  <si>
    <t>23.10.2014.lēmums Nr.16/3</t>
  </si>
  <si>
    <t>23.10.2014. lēmums Nr.16/3</t>
  </si>
</sst>
</file>

<file path=xl/styles.xml><?xml version="1.0" encoding="utf-8"?>
<styleSheet xmlns="http://schemas.openxmlformats.org/spreadsheetml/2006/main">
  <numFmts count="6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\ _L_s_-;\-* #,##0\ _L_s_-;_-* &quot;-&quot;??\ _L_s_-;_-@_-"/>
    <numFmt numFmtId="184" formatCode="_-* #,##0.0\ _L_s_-;\-* #,##0.0\ _L_s_-;_-* &quot;-&quot;??\ _L_s_-;_-@_-"/>
    <numFmt numFmtId="185" formatCode="0.000%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-* #,##0_-;\-* #,##0_-;_-* &quot;-&quot;??_-;_-@_-"/>
    <numFmt numFmtId="195" formatCode="_-* #,##0.000\ &quot;Ls&quot;_-;\-* #,##0.000\ &quot;Ls&quot;_-;_-* &quot;-&quot;??\ &quot;Ls&quot;_-;_-@_-"/>
    <numFmt numFmtId="196" formatCode="_-* #,##0.0000\ &quot;Ls&quot;_-;\-* #,##0.0000\ &quot;Ls&quot;_-;_-* &quot;-&quot;??\ &quot;Ls&quot;_-;_-@_-"/>
    <numFmt numFmtId="197" formatCode="_-* #,##0.00000\ &quot;Ls&quot;_-;\-* #,##0.00000\ &quot;Ls&quot;_-;_-* &quot;-&quot;??\ &quot;Ls&quot;_-;_-@_-"/>
    <numFmt numFmtId="198" formatCode="_-* #,##0.000000\ &quot;Ls&quot;_-;\-* #,##0.000000\ &quot;Ls&quot;_-;_-* &quot;-&quot;??\ &quot;Ls&quot;_-;_-@_-"/>
    <numFmt numFmtId="199" formatCode="_-* #,##0.0000000\ &quot;Ls&quot;_-;\-* #,##0.0000000\ &quot;Ls&quot;_-;_-* &quot;-&quot;??\ &quot;Ls&quot;_-;_-@_-"/>
    <numFmt numFmtId="200" formatCode="_-* #,##0.000\ _L_s_-;\-* #,##0.000\ _L_s_-;_-* &quot;-&quot;??\ _L_s_-;_-@_-"/>
    <numFmt numFmtId="201" formatCode="_-* #,##0.0000\ _L_s_-;\-* #,##0.0000\ _L_s_-;_-* &quot;-&quot;??\ _L_s_-;_-@_-"/>
    <numFmt numFmtId="202" formatCode="[$-426]dddd\,\ yyyy&quot;. gada &quot;d\.\ mmmm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_-;\-* #,##0.0_-;_-* &quot;-&quot;??_-;_-@_-"/>
    <numFmt numFmtId="208" formatCode="_-* #,##0.0\ &quot;Ls&quot;_-;\-* #,##0.0\ &quot;Ls&quot;_-;_-* &quot;-&quot;??\ &quot;Ls&quot;_-;_-@_-"/>
    <numFmt numFmtId="209" formatCode="_-* #,##0\ &quot;Ls&quot;_-;\-* #,##0\ &quot;Ls&quot;_-;_-* &quot;-&quot;??\ &quot;Ls&quot;_-;_-@_-"/>
    <numFmt numFmtId="210" formatCode="[$€-2]\ #,##0.00_);[Red]\([$€-2]\ #,##0.00\)"/>
    <numFmt numFmtId="211" formatCode="0.000000000"/>
    <numFmt numFmtId="212" formatCode="_-* #,##0.000000_-;\-* #,##0.000000_-;_-* &quot;-&quot;??????_-;_-@_-"/>
    <numFmt numFmtId="213" formatCode="[$€-2]\ #,##0.00"/>
    <numFmt numFmtId="214" formatCode="[$€-2]\ #,##0.0"/>
    <numFmt numFmtId="215" formatCode="[$€-2]\ #,##0"/>
    <numFmt numFmtId="216" formatCode="[$€-2]\ #,##0.00;\-[$€-2]\ #,##0.00"/>
    <numFmt numFmtId="217" formatCode="mmm/yyyy"/>
    <numFmt numFmtId="218" formatCode="#,##0.0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 Baltic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 Baltic"/>
      <family val="0"/>
    </font>
    <font>
      <sz val="10"/>
      <name val="Times New Roman Baltic"/>
      <family val="1"/>
    </font>
    <font>
      <b/>
      <i/>
      <sz val="9"/>
      <name val="Times New Roman"/>
      <family val="1"/>
    </font>
    <font>
      <b/>
      <sz val="10"/>
      <name val="Times New Roman Baltic"/>
      <family val="1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b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indexed="22"/>
      </right>
      <top style="thin"/>
      <bottom style="thin">
        <color indexed="22"/>
      </bottom>
    </border>
    <border>
      <left style="thin">
        <color theme="0" tint="-0.3499799966812134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wrapText="1" indent="1"/>
    </xf>
    <xf numFmtId="0" fontId="2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18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8" fillId="24" borderId="13" xfId="0" applyNumberFormat="1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3" fontId="18" fillId="0" borderId="13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11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7" fillId="0" borderId="13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11" borderId="24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 wrapText="1"/>
    </xf>
    <xf numFmtId="3" fontId="5" fillId="11" borderId="25" xfId="0" applyNumberFormat="1" applyFont="1" applyFill="1" applyBorder="1" applyAlignment="1">
      <alignment horizontal="center"/>
    </xf>
    <xf numFmtId="3" fontId="5" fillId="11" borderId="26" xfId="0" applyNumberFormat="1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/>
    </xf>
    <xf numFmtId="3" fontId="5" fillId="11" borderId="28" xfId="0" applyNumberFormat="1" applyFont="1" applyFill="1" applyBorder="1" applyAlignment="1">
      <alignment horizontal="center"/>
    </xf>
    <xf numFmtId="3" fontId="5" fillId="11" borderId="29" xfId="0" applyNumberFormat="1" applyFont="1" applyFill="1" applyBorder="1" applyAlignment="1">
      <alignment horizontal="center"/>
    </xf>
    <xf numFmtId="0" fontId="4" fillId="11" borderId="30" xfId="0" applyFont="1" applyFill="1" applyBorder="1" applyAlignment="1">
      <alignment/>
    </xf>
    <xf numFmtId="3" fontId="19" fillId="0" borderId="13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39" fillId="0" borderId="13" xfId="0" applyNumberFormat="1" applyFont="1" applyFill="1" applyBorder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3" fontId="16" fillId="24" borderId="13" xfId="0" applyNumberFormat="1" applyFont="1" applyFill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43" fillId="0" borderId="13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14" fillId="11" borderId="32" xfId="0" applyNumberFormat="1" applyFont="1" applyFill="1" applyBorder="1" applyAlignment="1">
      <alignment horizontal="center"/>
    </xf>
    <xf numFmtId="3" fontId="20" fillId="0" borderId="32" xfId="0" applyNumberFormat="1" applyFont="1" applyFill="1" applyBorder="1" applyAlignment="1">
      <alignment horizontal="center"/>
    </xf>
    <xf numFmtId="3" fontId="15" fillId="0" borderId="17" xfId="0" applyNumberFormat="1" applyFont="1" applyFill="1" applyBorder="1" applyAlignment="1">
      <alignment horizontal="center"/>
    </xf>
    <xf numFmtId="3" fontId="43" fillId="0" borderId="17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3" fontId="20" fillId="0" borderId="33" xfId="0" applyNumberFormat="1" applyFont="1" applyBorder="1" applyAlignment="1">
      <alignment horizontal="center"/>
    </xf>
    <xf numFmtId="0" fontId="3" fillId="11" borderId="34" xfId="0" applyFont="1" applyFill="1" applyBorder="1" applyAlignment="1">
      <alignment horizontal="center" wrapText="1"/>
    </xf>
    <xf numFmtId="3" fontId="3" fillId="11" borderId="34" xfId="0" applyNumberFormat="1" applyFont="1" applyFill="1" applyBorder="1" applyAlignment="1">
      <alignment horizontal="center"/>
    </xf>
    <xf numFmtId="3" fontId="3" fillId="11" borderId="3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8" borderId="34" xfId="0" applyFont="1" applyFill="1" applyBorder="1" applyAlignment="1">
      <alignment horizontal="center" wrapText="1"/>
    </xf>
    <xf numFmtId="3" fontId="17" fillId="0" borderId="15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14" fillId="11" borderId="17" xfId="0" applyNumberFormat="1" applyFont="1" applyFill="1" applyBorder="1" applyAlignment="1">
      <alignment horizontal="center" vertical="center" wrapText="1"/>
    </xf>
    <xf numFmtId="3" fontId="47" fillId="11" borderId="17" xfId="0" applyNumberFormat="1" applyFont="1" applyFill="1" applyBorder="1" applyAlignment="1">
      <alignment horizontal="center" vertical="center" wrapText="1"/>
    </xf>
    <xf numFmtId="3" fontId="14" fillId="11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2" fillId="0" borderId="11" xfId="0" applyNumberFormat="1" applyFont="1" applyFill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0" fontId="14" fillId="8" borderId="36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 vertical="center" wrapText="1"/>
    </xf>
    <xf numFmtId="0" fontId="19" fillId="8" borderId="31" xfId="0" applyFont="1" applyFill="1" applyBorder="1" applyAlignment="1">
      <alignment horizontal="center" vertical="center" wrapText="1"/>
    </xf>
    <xf numFmtId="0" fontId="19" fillId="8" borderId="38" xfId="0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wrapText="1" indent="1"/>
    </xf>
    <xf numFmtId="3" fontId="20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 indent="1"/>
    </xf>
    <xf numFmtId="0" fontId="2" fillId="0" borderId="31" xfId="0" applyFont="1" applyBorder="1" applyAlignment="1">
      <alignment horizontal="left" wrapText="1" indent="1"/>
    </xf>
    <xf numFmtId="3" fontId="20" fillId="0" borderId="31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0" fontId="14" fillId="11" borderId="20" xfId="0" applyFont="1" applyFill="1" applyBorder="1" applyAlignment="1">
      <alignment/>
    </xf>
    <xf numFmtId="0" fontId="14" fillId="11" borderId="20" xfId="0" applyFont="1" applyFill="1" applyBorder="1" applyAlignment="1">
      <alignment horizontal="center"/>
    </xf>
    <xf numFmtId="3" fontId="14" fillId="11" borderId="17" xfId="0" applyNumberFormat="1" applyFont="1" applyFill="1" applyBorder="1" applyAlignment="1">
      <alignment horizontal="center"/>
    </xf>
    <xf numFmtId="3" fontId="47" fillId="11" borderId="17" xfId="0" applyNumberFormat="1" applyFont="1" applyFill="1" applyBorder="1" applyAlignment="1">
      <alignment horizontal="center"/>
    </xf>
    <xf numFmtId="3" fontId="14" fillId="11" borderId="33" xfId="0" applyNumberFormat="1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39" fillId="0" borderId="13" xfId="0" applyFont="1" applyBorder="1" applyAlignment="1">
      <alignment horizontal="left" wrapText="1" indent="1"/>
    </xf>
    <xf numFmtId="3" fontId="20" fillId="0" borderId="1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4" fillId="11" borderId="13" xfId="0" applyFont="1" applyFill="1" applyBorder="1" applyAlignment="1">
      <alignment vertical="center" wrapText="1"/>
    </xf>
    <xf numFmtId="3" fontId="14" fillId="11" borderId="13" xfId="0" applyNumberFormat="1" applyFont="1" applyFill="1" applyBorder="1" applyAlignment="1">
      <alignment horizontal="center" vertical="center"/>
    </xf>
    <xf numFmtId="3" fontId="47" fillId="11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0" fontId="41" fillId="0" borderId="13" xfId="0" applyFont="1" applyBorder="1" applyAlignment="1">
      <alignment horizontal="left" vertical="center" wrapText="1" indent="1"/>
    </xf>
    <xf numFmtId="3" fontId="15" fillId="24" borderId="13" xfId="0" applyNumberFormat="1" applyFont="1" applyFill="1" applyBorder="1" applyAlignment="1">
      <alignment horizontal="center"/>
    </xf>
    <xf numFmtId="0" fontId="44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wrapText="1"/>
    </xf>
    <xf numFmtId="3" fontId="18" fillId="24" borderId="13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wrapText="1"/>
    </xf>
    <xf numFmtId="0" fontId="39" fillId="0" borderId="13" xfId="0" applyFont="1" applyFill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3" fontId="45" fillId="0" borderId="13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3" fontId="20" fillId="0" borderId="11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0" fontId="14" fillId="11" borderId="16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right" wrapText="1"/>
    </xf>
    <xf numFmtId="3" fontId="16" fillId="0" borderId="19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3" fontId="2" fillId="0" borderId="19" xfId="0" applyNumberFormat="1" applyFont="1" applyBorder="1" applyAlignment="1">
      <alignment horizontal="center"/>
    </xf>
    <xf numFmtId="0" fontId="14" fillId="11" borderId="12" xfId="0" applyFont="1" applyFill="1" applyBorder="1" applyAlignment="1">
      <alignment vertical="center" wrapText="1"/>
    </xf>
    <xf numFmtId="3" fontId="14" fillId="11" borderId="19" xfId="0" applyNumberFormat="1" applyFont="1" applyFill="1" applyBorder="1" applyAlignment="1">
      <alignment horizontal="center" vertical="center"/>
    </xf>
    <xf numFmtId="0" fontId="39" fillId="24" borderId="12" xfId="0" applyFont="1" applyFill="1" applyBorder="1" applyAlignment="1">
      <alignment horizontal="right" wrapText="1"/>
    </xf>
    <xf numFmtId="0" fontId="14" fillId="0" borderId="12" xfId="0" applyFont="1" applyBorder="1" applyAlignment="1">
      <alignment horizontal="left" wrapText="1"/>
    </xf>
    <xf numFmtId="3" fontId="17" fillId="0" borderId="19" xfId="0" applyNumberFormat="1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left" wrapText="1"/>
    </xf>
    <xf numFmtId="0" fontId="14" fillId="11" borderId="12" xfId="0" applyFont="1" applyFill="1" applyBorder="1" applyAlignment="1">
      <alignment horizontal="left" vertical="center" wrapText="1"/>
    </xf>
    <xf numFmtId="3" fontId="16" fillId="0" borderId="19" xfId="0" applyNumberFormat="1" applyFont="1" applyFill="1" applyBorder="1" applyAlignment="1">
      <alignment horizontal="center"/>
    </xf>
    <xf numFmtId="3" fontId="20" fillId="0" borderId="19" xfId="0" applyNumberFormat="1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right" wrapText="1"/>
    </xf>
    <xf numFmtId="3" fontId="17" fillId="0" borderId="19" xfId="0" applyNumberFormat="1" applyFont="1" applyBorder="1" applyAlignment="1">
      <alignment horizontal="center"/>
    </xf>
    <xf numFmtId="0" fontId="14" fillId="0" borderId="39" xfId="0" applyFont="1" applyBorder="1" applyAlignment="1">
      <alignment/>
    </xf>
    <xf numFmtId="3" fontId="16" fillId="0" borderId="40" xfId="0" applyNumberFormat="1" applyFont="1" applyBorder="1" applyAlignment="1">
      <alignment horizontal="center"/>
    </xf>
    <xf numFmtId="0" fontId="14" fillId="11" borderId="16" xfId="0" applyFont="1" applyFill="1" applyBorder="1" applyAlignment="1">
      <alignment horizontal="center"/>
    </xf>
    <xf numFmtId="0" fontId="14" fillId="11" borderId="17" xfId="0" applyFont="1" applyFill="1" applyBorder="1" applyAlignment="1">
      <alignment horizontal="center"/>
    </xf>
    <xf numFmtId="3" fontId="20" fillId="11" borderId="17" xfId="0" applyNumberFormat="1" applyFont="1" applyFill="1" applyBorder="1" applyAlignment="1">
      <alignment horizontal="center"/>
    </xf>
    <xf numFmtId="3" fontId="17" fillId="11" borderId="17" xfId="0" applyNumberFormat="1" applyFont="1" applyFill="1" applyBorder="1" applyAlignment="1">
      <alignment horizontal="center"/>
    </xf>
    <xf numFmtId="3" fontId="19" fillId="11" borderId="17" xfId="0" applyNumberFormat="1" applyFont="1" applyFill="1" applyBorder="1" applyAlignment="1">
      <alignment horizontal="center"/>
    </xf>
    <xf numFmtId="3" fontId="17" fillId="11" borderId="33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3" fontId="17" fillId="0" borderId="41" xfId="0" applyNumberFormat="1" applyFont="1" applyFill="1" applyBorder="1" applyAlignment="1">
      <alignment horizontal="center"/>
    </xf>
    <xf numFmtId="0" fontId="39" fillId="0" borderId="14" xfId="0" applyFont="1" applyBorder="1" applyAlignment="1">
      <alignment horizontal="right" wrapText="1"/>
    </xf>
    <xf numFmtId="3" fontId="20" fillId="0" borderId="15" xfId="0" applyNumberFormat="1" applyFont="1" applyBorder="1" applyAlignment="1">
      <alignment horizontal="center"/>
    </xf>
    <xf numFmtId="3" fontId="17" fillId="0" borderId="42" xfId="0" applyNumberFormat="1" applyFont="1" applyBorder="1" applyAlignment="1">
      <alignment horizontal="center"/>
    </xf>
    <xf numFmtId="0" fontId="39" fillId="0" borderId="15" xfId="0" applyFont="1" applyBorder="1" applyAlignment="1">
      <alignment horizontal="left" wrapText="1" indent="1"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3" fontId="16" fillId="0" borderId="41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right" wrapText="1"/>
    </xf>
    <xf numFmtId="3" fontId="15" fillId="0" borderId="13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14" fillId="11" borderId="43" xfId="0" applyFont="1" applyFill="1" applyBorder="1" applyAlignment="1">
      <alignment vertical="center" wrapText="1"/>
    </xf>
    <xf numFmtId="0" fontId="14" fillId="11" borderId="44" xfId="0" applyFont="1" applyFill="1" applyBorder="1" applyAlignment="1">
      <alignment vertical="center" wrapText="1"/>
    </xf>
    <xf numFmtId="3" fontId="14" fillId="11" borderId="44" xfId="0" applyNumberFormat="1" applyFont="1" applyFill="1" applyBorder="1" applyAlignment="1">
      <alignment horizontal="center" vertical="center" wrapText="1"/>
    </xf>
    <xf numFmtId="3" fontId="47" fillId="11" borderId="44" xfId="0" applyNumberFormat="1" applyFont="1" applyFill="1" applyBorder="1" applyAlignment="1">
      <alignment horizontal="center" vertical="center" wrapText="1"/>
    </xf>
    <xf numFmtId="3" fontId="14" fillId="11" borderId="45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wrapText="1"/>
    </xf>
    <xf numFmtId="3" fontId="2" fillId="0" borderId="46" xfId="0" applyNumberFormat="1" applyFont="1" applyBorder="1" applyAlignment="1">
      <alignment/>
    </xf>
    <xf numFmtId="3" fontId="11" fillId="0" borderId="47" xfId="0" applyNumberFormat="1" applyFont="1" applyBorder="1" applyAlignment="1">
      <alignment horizontal="center"/>
    </xf>
    <xf numFmtId="3" fontId="12" fillId="0" borderId="48" xfId="0" applyNumberFormat="1" applyFont="1" applyBorder="1" applyAlignment="1">
      <alignment horizontal="center"/>
    </xf>
    <xf numFmtId="0" fontId="19" fillId="8" borderId="49" xfId="0" applyFont="1" applyFill="1" applyBorder="1" applyAlignment="1">
      <alignment horizontal="center" vertical="center" wrapText="1"/>
    </xf>
    <xf numFmtId="0" fontId="19" fillId="8" borderId="50" xfId="0" applyFont="1" applyFill="1" applyBorder="1" applyAlignment="1">
      <alignment horizontal="center" vertical="center" wrapText="1"/>
    </xf>
    <xf numFmtId="0" fontId="19" fillId="8" borderId="5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 wrapText="1"/>
    </xf>
    <xf numFmtId="3" fontId="11" fillId="0" borderId="34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 wrapText="1"/>
    </xf>
    <xf numFmtId="3" fontId="19" fillId="0" borderId="13" xfId="0" applyNumberFormat="1" applyFont="1" applyFill="1" applyBorder="1" applyAlignment="1">
      <alignment horizontal="center"/>
    </xf>
    <xf numFmtId="3" fontId="40" fillId="0" borderId="13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 wrapText="1"/>
    </xf>
    <xf numFmtId="3" fontId="12" fillId="11" borderId="11" xfId="0" applyNumberFormat="1" applyFont="1" applyFill="1" applyBorder="1" applyAlignment="1">
      <alignment horizontal="right" indent="1"/>
    </xf>
    <xf numFmtId="0" fontId="12" fillId="11" borderId="13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 wrapText="1"/>
    </xf>
    <xf numFmtId="3" fontId="12" fillId="11" borderId="13" xfId="0" applyNumberFormat="1" applyFont="1" applyFill="1" applyBorder="1" applyAlignment="1">
      <alignment horizontal="right" indent="1"/>
    </xf>
    <xf numFmtId="0" fontId="12" fillId="22" borderId="13" xfId="0" applyFont="1" applyFill="1" applyBorder="1" applyAlignment="1">
      <alignment horizontal="left"/>
    </xf>
    <xf numFmtId="0" fontId="12" fillId="22" borderId="13" xfId="0" applyFont="1" applyFill="1" applyBorder="1" applyAlignment="1">
      <alignment wrapText="1"/>
    </xf>
    <xf numFmtId="3" fontId="12" fillId="22" borderId="13" xfId="0" applyNumberFormat="1" applyFont="1" applyFill="1" applyBorder="1" applyAlignment="1">
      <alignment horizontal="right" indent="1"/>
    </xf>
    <xf numFmtId="0" fontId="50" fillId="0" borderId="13" xfId="0" applyFont="1" applyBorder="1" applyAlignment="1">
      <alignment horizontal="right"/>
    </xf>
    <xf numFmtId="0" fontId="50" fillId="0" borderId="13" xfId="0" applyFont="1" applyBorder="1" applyAlignment="1">
      <alignment horizontal="left" wrapText="1" indent="1"/>
    </xf>
    <xf numFmtId="3" fontId="11" fillId="0" borderId="13" xfId="0" applyNumberFormat="1" applyFont="1" applyBorder="1" applyAlignment="1">
      <alignment horizontal="right" indent="1"/>
    </xf>
    <xf numFmtId="0" fontId="12" fillId="22" borderId="13" xfId="0" applyFont="1" applyFill="1" applyBorder="1" applyAlignment="1">
      <alignment/>
    </xf>
    <xf numFmtId="3" fontId="11" fillId="22" borderId="13" xfId="0" applyNumberFormat="1" applyFont="1" applyFill="1" applyBorder="1" applyAlignment="1">
      <alignment horizontal="right" indent="1"/>
    </xf>
    <xf numFmtId="3" fontId="11" fillId="0" borderId="13" xfId="0" applyNumberFormat="1" applyFont="1" applyFill="1" applyBorder="1" applyAlignment="1">
      <alignment horizontal="right" inden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3" fontId="12" fillId="0" borderId="13" xfId="0" applyNumberFormat="1" applyFont="1" applyBorder="1" applyAlignment="1">
      <alignment horizontal="right" indent="1"/>
    </xf>
    <xf numFmtId="3" fontId="12" fillId="0" borderId="0" xfId="0" applyNumberFormat="1" applyFont="1" applyBorder="1" applyAlignment="1">
      <alignment horizontal="center"/>
    </xf>
    <xf numFmtId="3" fontId="12" fillId="11" borderId="13" xfId="0" applyNumberFormat="1" applyFont="1" applyFill="1" applyBorder="1" applyAlignment="1">
      <alignment horizontal="center"/>
    </xf>
    <xf numFmtId="0" fontId="12" fillId="22" borderId="13" xfId="0" applyFont="1" applyFill="1" applyBorder="1" applyAlignment="1">
      <alignment horizontal="left" wrapText="1"/>
    </xf>
    <xf numFmtId="3" fontId="12" fillId="22" borderId="13" xfId="0" applyNumberFormat="1" applyFont="1" applyFill="1" applyBorder="1" applyAlignment="1">
      <alignment horizontal="center"/>
    </xf>
    <xf numFmtId="0" fontId="50" fillId="0" borderId="13" xfId="0" applyFont="1" applyFill="1" applyBorder="1" applyAlignment="1">
      <alignment horizontal="right"/>
    </xf>
    <xf numFmtId="0" fontId="50" fillId="0" borderId="13" xfId="0" applyFont="1" applyFill="1" applyBorder="1" applyAlignment="1">
      <alignment horizontal="left" wrapText="1"/>
    </xf>
    <xf numFmtId="3" fontId="12" fillId="0" borderId="13" xfId="0" applyNumberFormat="1" applyFont="1" applyFill="1" applyBorder="1" applyAlignment="1">
      <alignment horizontal="right" indent="1"/>
    </xf>
    <xf numFmtId="3" fontId="12" fillId="0" borderId="13" xfId="0" applyNumberFormat="1" applyFont="1" applyFill="1" applyBorder="1" applyAlignment="1">
      <alignment horizontal="center"/>
    </xf>
    <xf numFmtId="0" fontId="50" fillId="0" borderId="13" xfId="0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11" borderId="13" xfId="0" applyFont="1" applyFill="1" applyBorder="1" applyAlignment="1">
      <alignment horizontal="center" vertical="center" wrapText="1"/>
    </xf>
    <xf numFmtId="3" fontId="12" fillId="11" borderId="13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wrapText="1"/>
    </xf>
    <xf numFmtId="3" fontId="11" fillId="24" borderId="13" xfId="0" applyNumberFormat="1" applyFont="1" applyFill="1" applyBorder="1" applyAlignment="1">
      <alignment horizontal="right" indent="1"/>
    </xf>
    <xf numFmtId="0" fontId="12" fillId="11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2" fillId="8" borderId="13" xfId="0" applyFont="1" applyFill="1" applyBorder="1" applyAlignment="1">
      <alignment/>
    </xf>
    <xf numFmtId="0" fontId="12" fillId="8" borderId="13" xfId="0" applyFont="1" applyFill="1" applyBorder="1" applyAlignment="1">
      <alignment horizontal="center" wrapText="1"/>
    </xf>
    <xf numFmtId="3" fontId="12" fillId="8" borderId="13" xfId="0" applyNumberFormat="1" applyFont="1" applyFill="1" applyBorder="1" applyAlignment="1">
      <alignment horizontal="right" inden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wrapText="1" indent="2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3" fontId="19" fillId="25" borderId="13" xfId="0" applyNumberFormat="1" applyFont="1" applyFill="1" applyBorder="1" applyAlignment="1">
      <alignment horizontal="center"/>
    </xf>
    <xf numFmtId="3" fontId="18" fillId="25" borderId="13" xfId="0" applyNumberFormat="1" applyFont="1" applyFill="1" applyBorder="1" applyAlignment="1">
      <alignment horizontal="center"/>
    </xf>
    <xf numFmtId="3" fontId="18" fillId="25" borderId="13" xfId="0" applyNumberFormat="1" applyFont="1" applyFill="1" applyBorder="1" applyAlignment="1">
      <alignment horizontal="center"/>
    </xf>
    <xf numFmtId="3" fontId="18" fillId="25" borderId="11" xfId="0" applyNumberFormat="1" applyFont="1" applyFill="1" applyBorder="1" applyAlignment="1">
      <alignment horizontal="center"/>
    </xf>
    <xf numFmtId="0" fontId="0" fillId="0" borderId="0" xfId="60">
      <alignment/>
      <protection/>
    </xf>
    <xf numFmtId="0" fontId="2" fillId="0" borderId="0" xfId="60" applyFont="1" applyFill="1">
      <alignment/>
      <protection/>
    </xf>
    <xf numFmtId="0" fontId="0" fillId="0" borderId="0" xfId="60" applyAlignment="1">
      <alignment vertical="center"/>
      <protection/>
    </xf>
    <xf numFmtId="4" fontId="0" fillId="0" borderId="0" xfId="60" applyNumberFormat="1" applyAlignment="1">
      <alignment horizontal="center" vertical="center"/>
      <protection/>
    </xf>
    <xf numFmtId="4" fontId="0" fillId="0" borderId="0" xfId="60" applyNumberFormat="1">
      <alignment/>
      <protection/>
    </xf>
    <xf numFmtId="0" fontId="11" fillId="0" borderId="0" xfId="60" applyFont="1" applyAlignment="1">
      <alignment horizontal="right"/>
      <protection/>
    </xf>
    <xf numFmtId="0" fontId="0" fillId="0" borderId="0" xfId="60" applyFill="1" applyBorder="1">
      <alignment/>
      <protection/>
    </xf>
    <xf numFmtId="0" fontId="0" fillId="0" borderId="0" xfId="60" applyFill="1">
      <alignment/>
      <protection/>
    </xf>
    <xf numFmtId="0" fontId="11" fillId="0" borderId="0" xfId="60" applyFont="1" applyFill="1" applyAlignment="1">
      <alignment horizontal="right"/>
      <protection/>
    </xf>
    <xf numFmtId="0" fontId="16" fillId="0" borderId="0" xfId="60" applyFont="1">
      <alignment/>
      <protection/>
    </xf>
    <xf numFmtId="4" fontId="17" fillId="11" borderId="52" xfId="60" applyNumberFormat="1" applyFont="1" applyFill="1" applyBorder="1" applyAlignment="1">
      <alignment horizontal="center" vertical="center"/>
      <protection/>
    </xf>
    <xf numFmtId="0" fontId="17" fillId="26" borderId="52" xfId="60" applyFont="1" applyFill="1" applyBorder="1" applyAlignment="1">
      <alignment horizontal="center" vertical="center"/>
      <protection/>
    </xf>
    <xf numFmtId="4" fontId="17" fillId="11" borderId="52" xfId="60" applyNumberFormat="1" applyFont="1" applyFill="1" applyBorder="1" applyAlignment="1">
      <alignment vertical="center"/>
      <protection/>
    </xf>
    <xf numFmtId="0" fontId="17" fillId="11" borderId="52" xfId="60" applyFont="1" applyFill="1" applyBorder="1" applyAlignment="1">
      <alignment vertical="center"/>
      <protection/>
    </xf>
    <xf numFmtId="0" fontId="17" fillId="11" borderId="53" xfId="60" applyFont="1" applyFill="1" applyBorder="1" applyAlignment="1">
      <alignment vertical="center"/>
      <protection/>
    </xf>
    <xf numFmtId="0" fontId="0" fillId="0" borderId="0" xfId="60" applyFill="1" applyBorder="1" applyAlignment="1">
      <alignment vertical="center"/>
      <protection/>
    </xf>
    <xf numFmtId="4" fontId="17" fillId="11" borderId="54" xfId="60" applyNumberFormat="1" applyFont="1" applyFill="1" applyBorder="1" applyAlignment="1">
      <alignment horizontal="center" vertical="center"/>
      <protection/>
    </xf>
    <xf numFmtId="0" fontId="17" fillId="26" borderId="54" xfId="60" applyFont="1" applyFill="1" applyBorder="1" applyAlignment="1">
      <alignment horizontal="center" vertical="center"/>
      <protection/>
    </xf>
    <xf numFmtId="4" fontId="17" fillId="26" borderId="54" xfId="60" applyNumberFormat="1" applyFont="1" applyFill="1" applyBorder="1" applyAlignment="1">
      <alignment horizontal="center" vertical="center"/>
      <protection/>
    </xf>
    <xf numFmtId="0" fontId="17" fillId="11" borderId="55" xfId="60" applyFont="1" applyFill="1" applyBorder="1" applyAlignment="1">
      <alignment horizontal="center" vertical="center"/>
      <protection/>
    </xf>
    <xf numFmtId="0" fontId="16" fillId="0" borderId="56" xfId="60" applyFont="1" applyFill="1" applyBorder="1" applyAlignment="1">
      <alignment/>
      <protection/>
    </xf>
    <xf numFmtId="0" fontId="16" fillId="0" borderId="52" xfId="60" applyFont="1" applyFill="1" applyBorder="1" applyAlignment="1">
      <alignment horizontal="center" wrapText="1"/>
      <protection/>
    </xf>
    <xf numFmtId="0" fontId="16" fillId="0" borderId="52" xfId="60" applyFont="1" applyFill="1" applyBorder="1" applyAlignment="1">
      <alignment horizontal="center" vertical="center" wrapText="1"/>
      <protection/>
    </xf>
    <xf numFmtId="0" fontId="16" fillId="0" borderId="52" xfId="60" applyFont="1" applyFill="1" applyBorder="1" applyAlignment="1">
      <alignment horizontal="center"/>
      <protection/>
    </xf>
    <xf numFmtId="4" fontId="16" fillId="0" borderId="52" xfId="60" applyNumberFormat="1" applyFont="1" applyFill="1" applyBorder="1">
      <alignment/>
      <protection/>
    </xf>
    <xf numFmtId="4" fontId="16" fillId="0" borderId="57" xfId="60" applyNumberFormat="1" applyFont="1" applyFill="1" applyBorder="1">
      <alignment/>
      <protection/>
    </xf>
    <xf numFmtId="4" fontId="16" fillId="0" borderId="53" xfId="60" applyNumberFormat="1" applyFont="1" applyFill="1" applyBorder="1">
      <alignment/>
      <protection/>
    </xf>
    <xf numFmtId="0" fontId="16" fillId="0" borderId="0" xfId="60" applyFont="1" applyFill="1" applyBorder="1">
      <alignment/>
      <protection/>
    </xf>
    <xf numFmtId="0" fontId="16" fillId="0" borderId="58" xfId="60" applyFont="1" applyFill="1" applyBorder="1" applyAlignment="1">
      <alignment/>
      <protection/>
    </xf>
    <xf numFmtId="0" fontId="16" fillId="0" borderId="59" xfId="60" applyFont="1" applyFill="1" applyBorder="1" applyAlignment="1">
      <alignment horizontal="center" wrapText="1"/>
      <protection/>
    </xf>
    <xf numFmtId="0" fontId="16" fillId="0" borderId="59" xfId="60" applyFont="1" applyFill="1" applyBorder="1" applyAlignment="1">
      <alignment horizontal="center" vertical="center" wrapText="1"/>
      <protection/>
    </xf>
    <xf numFmtId="0" fontId="16" fillId="0" borderId="59" xfId="60" applyFont="1" applyFill="1" applyBorder="1" applyAlignment="1">
      <alignment horizontal="center"/>
      <protection/>
    </xf>
    <xf numFmtId="10" fontId="16" fillId="0" borderId="59" xfId="60" applyNumberFormat="1" applyFont="1" applyFill="1" applyBorder="1" applyAlignment="1">
      <alignment horizontal="center"/>
      <protection/>
    </xf>
    <xf numFmtId="4" fontId="18" fillId="0" borderId="59" xfId="60" applyNumberFormat="1" applyFont="1" applyFill="1" applyBorder="1">
      <alignment/>
      <protection/>
    </xf>
    <xf numFmtId="3" fontId="18" fillId="0" borderId="59" xfId="60" applyNumberFormat="1" applyFont="1" applyFill="1" applyBorder="1">
      <alignment/>
      <protection/>
    </xf>
    <xf numFmtId="3" fontId="18" fillId="0" borderId="60" xfId="60" applyNumberFormat="1" applyFont="1" applyFill="1" applyBorder="1">
      <alignment/>
      <protection/>
    </xf>
    <xf numFmtId="4" fontId="16" fillId="0" borderId="61" xfId="60" applyNumberFormat="1" applyFont="1" applyFill="1" applyBorder="1">
      <alignment/>
      <protection/>
    </xf>
    <xf numFmtId="0" fontId="16" fillId="0" borderId="52" xfId="60" applyFont="1" applyFill="1" applyBorder="1">
      <alignment/>
      <protection/>
    </xf>
    <xf numFmtId="0" fontId="16" fillId="0" borderId="57" xfId="60" applyFont="1" applyFill="1" applyBorder="1">
      <alignment/>
      <protection/>
    </xf>
    <xf numFmtId="0" fontId="16" fillId="0" borderId="59" xfId="60" applyFont="1" applyFill="1" applyBorder="1">
      <alignment/>
      <protection/>
    </xf>
    <xf numFmtId="0" fontId="16" fillId="0" borderId="60" xfId="60" applyFont="1" applyFill="1" applyBorder="1">
      <alignment/>
      <protection/>
    </xf>
    <xf numFmtId="0" fontId="18" fillId="0" borderId="52" xfId="60" applyFont="1" applyFill="1" applyBorder="1">
      <alignment/>
      <protection/>
    </xf>
    <xf numFmtId="0" fontId="18" fillId="0" borderId="59" xfId="60" applyFont="1" applyFill="1" applyBorder="1">
      <alignment/>
      <protection/>
    </xf>
    <xf numFmtId="14" fontId="16" fillId="0" borderId="52" xfId="60" applyNumberFormat="1" applyFont="1" applyFill="1" applyBorder="1" applyAlignment="1">
      <alignment horizontal="center"/>
      <protection/>
    </xf>
    <xf numFmtId="14" fontId="16" fillId="0" borderId="59" xfId="60" applyNumberFormat="1" applyFont="1" applyFill="1" applyBorder="1" applyAlignment="1">
      <alignment horizontal="center"/>
      <protection/>
    </xf>
    <xf numFmtId="0" fontId="18" fillId="0" borderId="60" xfId="60" applyFont="1" applyFill="1" applyBorder="1">
      <alignment/>
      <protection/>
    </xf>
    <xf numFmtId="3" fontId="16" fillId="0" borderId="52" xfId="60" applyNumberFormat="1" applyFont="1" applyFill="1" applyBorder="1">
      <alignment/>
      <protection/>
    </xf>
    <xf numFmtId="4" fontId="16" fillId="0" borderId="59" xfId="60" applyNumberFormat="1" applyFont="1" applyFill="1" applyBorder="1">
      <alignment/>
      <protection/>
    </xf>
    <xf numFmtId="4" fontId="16" fillId="0" borderId="60" xfId="60" applyNumberFormat="1" applyFont="1" applyFill="1" applyBorder="1">
      <alignment/>
      <protection/>
    </xf>
    <xf numFmtId="4" fontId="18" fillId="0" borderId="60" xfId="60" applyNumberFormat="1" applyFont="1" applyFill="1" applyBorder="1">
      <alignment/>
      <protection/>
    </xf>
    <xf numFmtId="4" fontId="16" fillId="0" borderId="52" xfId="60" applyNumberFormat="1" applyFont="1" applyFill="1" applyBorder="1" quotePrefix="1">
      <alignment/>
      <protection/>
    </xf>
    <xf numFmtId="0" fontId="0" fillId="0" borderId="0" xfId="60" applyFont="1" applyFill="1">
      <alignment/>
      <protection/>
    </xf>
    <xf numFmtId="4" fontId="18" fillId="0" borderId="52" xfId="60" applyNumberFormat="1" applyFont="1" applyFill="1" applyBorder="1">
      <alignment/>
      <protection/>
    </xf>
    <xf numFmtId="4" fontId="18" fillId="0" borderId="57" xfId="60" applyNumberFormat="1" applyFont="1" applyFill="1" applyBorder="1">
      <alignment/>
      <protection/>
    </xf>
    <xf numFmtId="10" fontId="16" fillId="0" borderId="52" xfId="60" applyNumberFormat="1" applyFont="1" applyFill="1" applyBorder="1" applyAlignment="1">
      <alignment horizontal="center"/>
      <protection/>
    </xf>
    <xf numFmtId="4" fontId="18" fillId="27" borderId="52" xfId="60" applyNumberFormat="1" applyFont="1" applyFill="1" applyBorder="1">
      <alignment/>
      <protection/>
    </xf>
    <xf numFmtId="0" fontId="16" fillId="0" borderId="62" xfId="60" applyFont="1" applyFill="1" applyBorder="1" applyAlignment="1">
      <alignment horizontal="center" wrapText="1"/>
      <protection/>
    </xf>
    <xf numFmtId="0" fontId="16" fillId="0" borderId="63" xfId="60" applyFont="1" applyFill="1" applyBorder="1" applyAlignment="1">
      <alignment horizontal="center" wrapText="1"/>
      <protection/>
    </xf>
    <xf numFmtId="4" fontId="18" fillId="27" borderId="62" xfId="60" applyNumberFormat="1" applyFont="1" applyFill="1" applyBorder="1">
      <alignment/>
      <protection/>
    </xf>
    <xf numFmtId="0" fontId="18" fillId="0" borderId="62" xfId="60" applyFont="1" applyFill="1" applyBorder="1">
      <alignment/>
      <protection/>
    </xf>
    <xf numFmtId="3" fontId="18" fillId="0" borderId="62" xfId="60" applyNumberFormat="1" applyFont="1" applyFill="1" applyBorder="1">
      <alignment/>
      <protection/>
    </xf>
    <xf numFmtId="3" fontId="18" fillId="0" borderId="64" xfId="60" applyNumberFormat="1" applyFont="1" applyFill="1" applyBorder="1">
      <alignment/>
      <protection/>
    </xf>
    <xf numFmtId="4" fontId="18" fillId="0" borderId="64" xfId="60" applyNumberFormat="1" applyFont="1" applyFill="1" applyBorder="1">
      <alignment/>
      <protection/>
    </xf>
    <xf numFmtId="4" fontId="18" fillId="0" borderId="63" xfId="60" applyNumberFormat="1" applyFont="1" applyFill="1" applyBorder="1">
      <alignment/>
      <protection/>
    </xf>
    <xf numFmtId="0" fontId="18" fillId="0" borderId="63" xfId="60" applyFont="1" applyFill="1" applyBorder="1">
      <alignment/>
      <protection/>
    </xf>
    <xf numFmtId="3" fontId="18" fillId="0" borderId="63" xfId="60" applyNumberFormat="1" applyFont="1" applyFill="1" applyBorder="1">
      <alignment/>
      <protection/>
    </xf>
    <xf numFmtId="3" fontId="18" fillId="0" borderId="65" xfId="60" applyNumberFormat="1" applyFont="1" applyFill="1" applyBorder="1">
      <alignment/>
      <protection/>
    </xf>
    <xf numFmtId="0" fontId="16" fillId="0" borderId="66" xfId="60" applyFont="1" applyFill="1" applyBorder="1" applyAlignment="1">
      <alignment horizontal="center" wrapText="1"/>
      <protection/>
    </xf>
    <xf numFmtId="10" fontId="16" fillId="0" borderId="57" xfId="60" applyNumberFormat="1" applyFont="1" applyFill="1" applyBorder="1" applyAlignment="1">
      <alignment horizontal="center"/>
      <protection/>
    </xf>
    <xf numFmtId="4" fontId="18" fillId="0" borderId="67" xfId="60" applyNumberFormat="1" applyFont="1" applyFill="1" applyBorder="1">
      <alignment/>
      <protection/>
    </xf>
    <xf numFmtId="3" fontId="18" fillId="0" borderId="52" xfId="60" applyNumberFormat="1" applyFont="1" applyFill="1" applyBorder="1">
      <alignment/>
      <protection/>
    </xf>
    <xf numFmtId="185" fontId="16" fillId="0" borderId="60" xfId="60" applyNumberFormat="1" applyFont="1" applyFill="1" applyBorder="1" applyAlignment="1">
      <alignment horizontal="center"/>
      <protection/>
    </xf>
    <xf numFmtId="4" fontId="18" fillId="0" borderId="68" xfId="60" applyNumberFormat="1" applyFont="1" applyFill="1" applyBorder="1">
      <alignment/>
      <protection/>
    </xf>
    <xf numFmtId="0" fontId="16" fillId="0" borderId="69" xfId="60" applyFont="1" applyFill="1" applyBorder="1" applyAlignment="1">
      <alignment/>
      <protection/>
    </xf>
    <xf numFmtId="4" fontId="18" fillId="0" borderId="0" xfId="60" applyNumberFormat="1" applyFont="1" applyFill="1" applyBorder="1">
      <alignment/>
      <protection/>
    </xf>
    <xf numFmtId="0" fontId="18" fillId="0" borderId="0" xfId="60" applyFont="1" applyFill="1" applyBorder="1">
      <alignment/>
      <protection/>
    </xf>
    <xf numFmtId="3" fontId="18" fillId="0" borderId="0" xfId="60" applyNumberFormat="1" applyFont="1" applyFill="1" applyBorder="1">
      <alignment/>
      <protection/>
    </xf>
    <xf numFmtId="4" fontId="16" fillId="0" borderId="70" xfId="60" applyNumberFormat="1" applyFont="1" applyFill="1" applyBorder="1">
      <alignment/>
      <protection/>
    </xf>
    <xf numFmtId="185" fontId="16" fillId="0" borderId="59" xfId="60" applyNumberFormat="1" applyFont="1" applyFill="1" applyBorder="1" applyAlignment="1">
      <alignment horizontal="center"/>
      <protection/>
    </xf>
    <xf numFmtId="0" fontId="16" fillId="0" borderId="71" xfId="60" applyFont="1" applyFill="1" applyBorder="1" applyAlignment="1">
      <alignment horizontal="center" wrapText="1"/>
      <protection/>
    </xf>
    <xf numFmtId="10" fontId="16" fillId="0" borderId="71" xfId="60" applyNumberFormat="1" applyFont="1" applyFill="1" applyBorder="1" applyAlignment="1">
      <alignment horizontal="center"/>
      <protection/>
    </xf>
    <xf numFmtId="4" fontId="18" fillId="0" borderId="71" xfId="60" applyNumberFormat="1" applyFont="1" applyFill="1" applyBorder="1">
      <alignment/>
      <protection/>
    </xf>
    <xf numFmtId="4" fontId="16" fillId="0" borderId="71" xfId="60" applyNumberFormat="1" applyFont="1" applyFill="1" applyBorder="1">
      <alignment/>
      <protection/>
    </xf>
    <xf numFmtId="4" fontId="16" fillId="0" borderId="72" xfId="60" applyNumberFormat="1" applyFont="1" applyFill="1" applyBorder="1">
      <alignment/>
      <protection/>
    </xf>
    <xf numFmtId="0" fontId="16" fillId="0" borderId="73" xfId="60" applyFont="1" applyFill="1" applyBorder="1" applyAlignment="1">
      <alignment horizontal="center" wrapText="1"/>
      <protection/>
    </xf>
    <xf numFmtId="10" fontId="16" fillId="0" borderId="73" xfId="60" applyNumberFormat="1" applyFont="1" applyFill="1" applyBorder="1" applyAlignment="1">
      <alignment horizontal="center"/>
      <protection/>
    </xf>
    <xf numFmtId="4" fontId="18" fillId="0" borderId="73" xfId="60" applyNumberFormat="1" applyFont="1" applyFill="1" applyBorder="1">
      <alignment/>
      <protection/>
    </xf>
    <xf numFmtId="3" fontId="18" fillId="0" borderId="73" xfId="60" applyNumberFormat="1" applyFont="1" applyFill="1" applyBorder="1">
      <alignment/>
      <protection/>
    </xf>
    <xf numFmtId="4" fontId="16" fillId="0" borderId="74" xfId="60" applyNumberFormat="1" applyFont="1" applyFill="1" applyBorder="1">
      <alignment/>
      <protection/>
    </xf>
    <xf numFmtId="0" fontId="16" fillId="0" borderId="75" xfId="60" applyFont="1" applyFill="1" applyBorder="1" applyAlignment="1">
      <alignment/>
      <protection/>
    </xf>
    <xf numFmtId="10" fontId="16" fillId="0" borderId="62" xfId="60" applyNumberFormat="1" applyFont="1" applyFill="1" applyBorder="1" applyAlignment="1">
      <alignment horizontal="center"/>
      <protection/>
    </xf>
    <xf numFmtId="3" fontId="18" fillId="0" borderId="57" xfId="60" applyNumberFormat="1" applyFont="1" applyFill="1" applyBorder="1">
      <alignment/>
      <protection/>
    </xf>
    <xf numFmtId="0" fontId="16" fillId="0" borderId="76" xfId="60" applyFont="1" applyFill="1" applyBorder="1" applyAlignment="1">
      <alignment/>
      <protection/>
    </xf>
    <xf numFmtId="10" fontId="16" fillId="0" borderId="63" xfId="60" applyNumberFormat="1" applyFont="1" applyFill="1" applyBorder="1" applyAlignment="1">
      <alignment horizontal="center"/>
      <protection/>
    </xf>
    <xf numFmtId="10" fontId="16" fillId="0" borderId="66" xfId="60" applyNumberFormat="1" applyFont="1" applyFill="1" applyBorder="1" applyAlignment="1">
      <alignment horizontal="center"/>
      <protection/>
    </xf>
    <xf numFmtId="0" fontId="16" fillId="22" borderId="77" xfId="60" applyFont="1" applyFill="1" applyBorder="1" applyAlignment="1">
      <alignment/>
      <protection/>
    </xf>
    <xf numFmtId="183" fontId="20" fillId="22" borderId="78" xfId="60" applyNumberFormat="1" applyFont="1" applyFill="1" applyBorder="1" applyAlignment="1">
      <alignment horizontal="center"/>
      <protection/>
    </xf>
    <xf numFmtId="4" fontId="20" fillId="22" borderId="78" xfId="60" applyNumberFormat="1" applyFont="1" applyFill="1" applyBorder="1" applyAlignment="1">
      <alignment horizontal="center"/>
      <protection/>
    </xf>
    <xf numFmtId="4" fontId="17" fillId="22" borderId="79" xfId="60" applyNumberFormat="1" applyFont="1" applyFill="1" applyBorder="1" applyAlignment="1">
      <alignment horizontal="right"/>
      <protection/>
    </xf>
    <xf numFmtId="0" fontId="16" fillId="22" borderId="80" xfId="60" applyFont="1" applyFill="1" applyBorder="1" applyAlignment="1">
      <alignment horizontal="center"/>
      <protection/>
    </xf>
    <xf numFmtId="0" fontId="14" fillId="22" borderId="81" xfId="60" applyFont="1" applyFill="1" applyBorder="1" applyAlignment="1">
      <alignment horizontal="center"/>
      <protection/>
    </xf>
    <xf numFmtId="4" fontId="20" fillId="22" borderId="81" xfId="60" applyNumberFormat="1" applyFont="1" applyFill="1" applyBorder="1" applyAlignment="1">
      <alignment horizontal="center"/>
      <protection/>
    </xf>
    <xf numFmtId="183" fontId="20" fillId="22" borderId="81" xfId="60" applyNumberFormat="1" applyFont="1" applyFill="1" applyBorder="1" applyAlignment="1">
      <alignment horizontal="right"/>
      <protection/>
    </xf>
    <xf numFmtId="3" fontId="17" fillId="22" borderId="82" xfId="60" applyNumberFormat="1" applyFont="1" applyFill="1" applyBorder="1" applyAlignment="1">
      <alignment horizontal="right"/>
      <protection/>
    </xf>
    <xf numFmtId="0" fontId="20" fillId="22" borderId="69" xfId="60" applyFont="1" applyFill="1" applyBorder="1" applyAlignment="1">
      <alignment horizontal="center"/>
      <protection/>
    </xf>
    <xf numFmtId="0" fontId="20" fillId="22" borderId="66" xfId="60" applyFont="1" applyFill="1" applyBorder="1" applyAlignment="1">
      <alignment horizontal="center"/>
      <protection/>
    </xf>
    <xf numFmtId="4" fontId="20" fillId="22" borderId="66" xfId="60" applyNumberFormat="1" applyFont="1" applyFill="1" applyBorder="1">
      <alignment/>
      <protection/>
    </xf>
    <xf numFmtId="3" fontId="20" fillId="22" borderId="66" xfId="60" applyNumberFormat="1" applyFont="1" applyFill="1" applyBorder="1">
      <alignment/>
      <protection/>
    </xf>
    <xf numFmtId="3" fontId="20" fillId="22" borderId="83" xfId="60" applyNumberFormat="1" applyFont="1" applyFill="1" applyBorder="1" applyAlignment="1">
      <alignment horizontal="right"/>
      <protection/>
    </xf>
    <xf numFmtId="0" fontId="2" fillId="28" borderId="84" xfId="60" applyFont="1" applyFill="1" applyBorder="1" applyAlignment="1">
      <alignment/>
      <protection/>
    </xf>
    <xf numFmtId="3" fontId="14" fillId="28" borderId="85" xfId="60" applyNumberFormat="1" applyFont="1" applyFill="1" applyBorder="1" applyAlignment="1">
      <alignment/>
      <protection/>
    </xf>
    <xf numFmtId="0" fontId="14" fillId="22" borderId="86" xfId="60" applyFont="1" applyFill="1" applyBorder="1" applyAlignment="1">
      <alignment horizontal="center"/>
      <protection/>
    </xf>
    <xf numFmtId="10" fontId="15" fillId="22" borderId="86" xfId="65" applyNumberFormat="1" applyFont="1" applyFill="1" applyBorder="1" applyAlignment="1">
      <alignment/>
    </xf>
    <xf numFmtId="4" fontId="15" fillId="22" borderId="87" xfId="65" applyNumberFormat="1" applyFont="1" applyFill="1" applyBorder="1" applyAlignment="1">
      <alignment horizontal="right"/>
    </xf>
    <xf numFmtId="4" fontId="45" fillId="0" borderId="0" xfId="60" applyNumberFormat="1" applyFont="1" applyAlignment="1">
      <alignment horizontal="center" vertical="center"/>
      <protection/>
    </xf>
    <xf numFmtId="0" fontId="4" fillId="0" borderId="0" xfId="60" applyFont="1" applyBorder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right"/>
      <protection/>
    </xf>
    <xf numFmtId="0" fontId="51" fillId="0" borderId="0" xfId="60" applyFont="1">
      <alignment/>
      <protection/>
    </xf>
    <xf numFmtId="4" fontId="45" fillId="0" borderId="0" xfId="60" applyNumberFormat="1" applyFont="1">
      <alignment/>
      <protection/>
    </xf>
    <xf numFmtId="183" fontId="45" fillId="0" borderId="0" xfId="60" applyNumberFormat="1" applyFont="1">
      <alignment/>
      <protection/>
    </xf>
    <xf numFmtId="0" fontId="0" fillId="0" borderId="0" xfId="60" applyFont="1" applyBorder="1">
      <alignment/>
      <protection/>
    </xf>
    <xf numFmtId="0" fontId="16" fillId="0" borderId="0" xfId="60" applyFont="1" applyFill="1" applyBorder="1" applyAlignment="1">
      <alignment wrapText="1"/>
      <protection/>
    </xf>
    <xf numFmtId="4" fontId="16" fillId="0" borderId="0" xfId="60" applyNumberFormat="1" applyFont="1" applyFill="1" applyBorder="1" applyAlignment="1">
      <alignment wrapText="1"/>
      <protection/>
    </xf>
    <xf numFmtId="4" fontId="16" fillId="0" borderId="0" xfId="60" applyNumberFormat="1" applyFont="1" applyFill="1" applyBorder="1">
      <alignment/>
      <protection/>
    </xf>
    <xf numFmtId="0" fontId="0" fillId="0" borderId="0" xfId="60" applyBorder="1">
      <alignment/>
      <protection/>
    </xf>
    <xf numFmtId="0" fontId="0" fillId="0" borderId="0" xfId="60" applyFont="1" applyAlignment="1">
      <alignment vertical="center"/>
      <protection/>
    </xf>
    <xf numFmtId="4" fontId="0" fillId="0" borderId="0" xfId="60" applyNumberFormat="1" applyFont="1" applyAlignment="1">
      <alignment horizontal="center" vertical="center"/>
      <protection/>
    </xf>
    <xf numFmtId="4" fontId="20" fillId="28" borderId="88" xfId="60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8" borderId="44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8" borderId="89" xfId="0" applyFont="1" applyFill="1" applyBorder="1" applyAlignment="1">
      <alignment horizontal="center" wrapText="1"/>
    </xf>
    <xf numFmtId="0" fontId="12" fillId="8" borderId="34" xfId="0" applyFont="1" applyFill="1" applyBorder="1" applyAlignment="1">
      <alignment horizontal="center" wrapText="1"/>
    </xf>
    <xf numFmtId="0" fontId="12" fillId="8" borderId="90" xfId="0" applyFont="1" applyFill="1" applyBorder="1" applyAlignment="1">
      <alignment horizontal="center" wrapText="1"/>
    </xf>
    <xf numFmtId="0" fontId="12" fillId="8" borderId="30" xfId="0" applyFont="1" applyFill="1" applyBorder="1" applyAlignment="1">
      <alignment horizontal="center" wrapText="1"/>
    </xf>
    <xf numFmtId="0" fontId="12" fillId="8" borderId="91" xfId="0" applyFont="1" applyFill="1" applyBorder="1" applyAlignment="1">
      <alignment horizontal="center" wrapText="1"/>
    </xf>
    <xf numFmtId="0" fontId="49" fillId="8" borderId="35" xfId="0" applyFont="1" applyFill="1" applyBorder="1" applyAlignment="1">
      <alignment horizontal="center" wrapText="1"/>
    </xf>
    <xf numFmtId="0" fontId="14" fillId="8" borderId="92" xfId="0" applyFont="1" applyFill="1" applyBorder="1" applyAlignment="1">
      <alignment horizontal="center" vertical="center" wrapText="1"/>
    </xf>
    <xf numFmtId="0" fontId="48" fillId="8" borderId="9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17" fillId="8" borderId="46" xfId="0" applyFont="1" applyFill="1" applyBorder="1" applyAlignment="1">
      <alignment horizontal="center" vertical="center" wrapText="1"/>
    </xf>
    <xf numFmtId="0" fontId="17" fillId="8" borderId="23" xfId="0" applyFont="1" applyFill="1" applyBorder="1" applyAlignment="1">
      <alignment horizontal="center" vertical="center" wrapText="1"/>
    </xf>
    <xf numFmtId="0" fontId="45" fillId="0" borderId="0" xfId="60" applyFont="1" applyBorder="1" applyAlignment="1">
      <alignment horizontal="left" vertical="center" wrapText="1"/>
      <protection/>
    </xf>
    <xf numFmtId="0" fontId="45" fillId="0" borderId="0" xfId="60" applyFont="1" applyFill="1" applyBorder="1" applyAlignment="1">
      <alignment horizontal="left" vertical="center"/>
      <protection/>
    </xf>
    <xf numFmtId="0" fontId="45" fillId="0" borderId="0" xfId="60" applyFont="1" applyFill="1" applyBorder="1" applyAlignment="1">
      <alignment horizontal="left" wrapText="1"/>
      <protection/>
    </xf>
    <xf numFmtId="0" fontId="45" fillId="0" borderId="0" xfId="60" applyFont="1" applyFill="1" applyBorder="1" applyAlignment="1">
      <alignment horizontal="left" vertical="center" wrapText="1"/>
      <protection/>
    </xf>
    <xf numFmtId="0" fontId="14" fillId="22" borderId="78" xfId="60" applyFont="1" applyFill="1" applyBorder="1" applyAlignment="1">
      <alignment horizontal="left"/>
      <protection/>
    </xf>
    <xf numFmtId="0" fontId="14" fillId="22" borderId="94" xfId="60" applyFont="1" applyFill="1" applyBorder="1" applyAlignment="1">
      <alignment horizontal="left"/>
      <protection/>
    </xf>
    <xf numFmtId="0" fontId="14" fillId="22" borderId="95" xfId="60" applyFont="1" applyFill="1" applyBorder="1" applyAlignment="1">
      <alignment horizontal="left"/>
      <protection/>
    </xf>
    <xf numFmtId="183" fontId="14" fillId="22" borderId="81" xfId="60" applyNumberFormat="1" applyFont="1" applyFill="1" applyBorder="1" applyAlignment="1">
      <alignment horizontal="left"/>
      <protection/>
    </xf>
    <xf numFmtId="183" fontId="20" fillId="22" borderId="66" xfId="60" applyNumberFormat="1" applyFont="1" applyFill="1" applyBorder="1" applyAlignment="1">
      <alignment horizontal="left"/>
      <protection/>
    </xf>
    <xf numFmtId="0" fontId="20" fillId="22" borderId="66" xfId="60" applyFont="1" applyFill="1" applyBorder="1" applyAlignment="1">
      <alignment horizontal="left"/>
      <protection/>
    </xf>
    <xf numFmtId="0" fontId="14" fillId="28" borderId="96" xfId="60" applyFont="1" applyFill="1" applyBorder="1" applyAlignment="1">
      <alignment horizontal="left"/>
      <protection/>
    </xf>
    <xf numFmtId="0" fontId="14" fillId="28" borderId="88" xfId="60" applyFont="1" applyFill="1" applyBorder="1" applyAlignment="1">
      <alignment horizontal="left"/>
      <protection/>
    </xf>
    <xf numFmtId="0" fontId="45" fillId="0" borderId="0" xfId="60" applyFont="1" applyAlignment="1">
      <alignment horizontal="right" vertical="center" wrapText="1"/>
      <protection/>
    </xf>
    <xf numFmtId="0" fontId="51" fillId="0" borderId="0" xfId="60" applyFont="1" applyFill="1" applyBorder="1" applyAlignment="1">
      <alignment horizontal="left"/>
      <protection/>
    </xf>
    <xf numFmtId="0" fontId="16" fillId="0" borderId="66" xfId="60" applyFont="1" applyFill="1" applyBorder="1" applyAlignment="1">
      <alignment horizontal="center" vertical="center" wrapText="1"/>
      <protection/>
    </xf>
    <xf numFmtId="0" fontId="16" fillId="0" borderId="63" xfId="60" applyFont="1" applyFill="1" applyBorder="1" applyAlignment="1">
      <alignment horizontal="center" vertical="center" wrapText="1"/>
      <protection/>
    </xf>
    <xf numFmtId="4" fontId="16" fillId="0" borderId="66" xfId="45" applyNumberFormat="1" applyFont="1" applyFill="1" applyBorder="1" applyAlignment="1">
      <alignment horizontal="center" vertical="center"/>
    </xf>
    <xf numFmtId="4" fontId="16" fillId="0" borderId="63" xfId="45" applyNumberFormat="1" applyFont="1" applyFill="1" applyBorder="1" applyAlignment="1">
      <alignment horizontal="center" vertical="center"/>
    </xf>
    <xf numFmtId="0" fontId="16" fillId="0" borderId="66" xfId="60" applyFont="1" applyFill="1" applyBorder="1" applyAlignment="1">
      <alignment horizontal="center" wrapText="1"/>
      <protection/>
    </xf>
    <xf numFmtId="0" fontId="16" fillId="0" borderId="63" xfId="60" applyFont="1" applyFill="1" applyBorder="1" applyAlignment="1">
      <alignment horizontal="center" wrapText="1"/>
      <protection/>
    </xf>
    <xf numFmtId="0" fontId="16" fillId="0" borderId="56" xfId="60" applyFont="1" applyFill="1" applyBorder="1" applyAlignment="1">
      <alignment/>
      <protection/>
    </xf>
    <xf numFmtId="0" fontId="16" fillId="0" borderId="58" xfId="60" applyFont="1" applyFill="1" applyBorder="1" applyAlignment="1">
      <alignment/>
      <protection/>
    </xf>
    <xf numFmtId="0" fontId="16" fillId="0" borderId="62" xfId="60" applyFont="1" applyFill="1" applyBorder="1" applyAlignment="1">
      <alignment horizontal="center" vertical="center" wrapText="1"/>
      <protection/>
    </xf>
    <xf numFmtId="4" fontId="16" fillId="0" borderId="62" xfId="45" applyNumberFormat="1" applyFont="1" applyFill="1" applyBorder="1" applyAlignment="1">
      <alignment horizontal="center" vertical="center"/>
    </xf>
    <xf numFmtId="0" fontId="16" fillId="0" borderId="52" xfId="60" applyFont="1" applyFill="1" applyBorder="1" applyAlignment="1">
      <alignment horizontal="center" wrapText="1"/>
      <protection/>
    </xf>
    <xf numFmtId="0" fontId="16" fillId="0" borderId="59" xfId="60" applyFont="1" applyFill="1" applyBorder="1" applyAlignment="1">
      <alignment horizontal="center" wrapText="1"/>
      <protection/>
    </xf>
    <xf numFmtId="0" fontId="16" fillId="0" borderId="62" xfId="60" applyFont="1" applyFill="1" applyBorder="1" applyAlignment="1">
      <alignment horizontal="center" wrapText="1"/>
      <protection/>
    </xf>
    <xf numFmtId="0" fontId="16" fillId="0" borderId="97" xfId="60" applyFont="1" applyFill="1" applyBorder="1" applyAlignment="1">
      <alignment/>
      <protection/>
    </xf>
    <xf numFmtId="0" fontId="16" fillId="0" borderId="98" xfId="60" applyFont="1" applyFill="1" applyBorder="1" applyAlignment="1">
      <alignment/>
      <protection/>
    </xf>
    <xf numFmtId="0" fontId="16" fillId="0" borderId="71" xfId="60" applyFont="1" applyFill="1" applyBorder="1" applyAlignment="1">
      <alignment horizontal="center" vertical="center" wrapText="1"/>
      <protection/>
    </xf>
    <xf numFmtId="0" fontId="16" fillId="0" borderId="73" xfId="60" applyFont="1" applyFill="1" applyBorder="1" applyAlignment="1">
      <alignment horizontal="center" vertical="center" wrapText="1"/>
      <protection/>
    </xf>
    <xf numFmtId="4" fontId="16" fillId="0" borderId="71" xfId="45" applyNumberFormat="1" applyFont="1" applyFill="1" applyBorder="1" applyAlignment="1">
      <alignment horizontal="center" vertical="center"/>
    </xf>
    <xf numFmtId="4" fontId="16" fillId="0" borderId="73" xfId="45" applyNumberFormat="1" applyFont="1" applyFill="1" applyBorder="1" applyAlignment="1">
      <alignment horizontal="center" vertical="center"/>
    </xf>
    <xf numFmtId="0" fontId="16" fillId="0" borderId="71" xfId="60" applyFont="1" applyFill="1" applyBorder="1" applyAlignment="1">
      <alignment horizontal="center" wrapText="1"/>
      <protection/>
    </xf>
    <xf numFmtId="0" fontId="16" fillId="0" borderId="73" xfId="60" applyFont="1" applyFill="1" applyBorder="1" applyAlignment="1">
      <alignment horizontal="center" wrapText="1"/>
      <protection/>
    </xf>
    <xf numFmtId="0" fontId="16" fillId="0" borderId="52" xfId="60" applyFont="1" applyFill="1" applyBorder="1" applyAlignment="1">
      <alignment horizontal="center" vertical="center" wrapText="1"/>
      <protection/>
    </xf>
    <xf numFmtId="0" fontId="16" fillId="0" borderId="59" xfId="60" applyFont="1" applyFill="1" applyBorder="1" applyAlignment="1">
      <alignment horizontal="center" vertical="center" wrapText="1"/>
      <protection/>
    </xf>
    <xf numFmtId="4" fontId="16" fillId="0" borderId="52" xfId="45" applyNumberFormat="1" applyFont="1" applyFill="1" applyBorder="1" applyAlignment="1">
      <alignment horizontal="center" vertical="center"/>
    </xf>
    <xf numFmtId="4" fontId="16" fillId="0" borderId="59" xfId="45" applyNumberFormat="1" applyFont="1" applyFill="1" applyBorder="1" applyAlignment="1">
      <alignment horizontal="center" vertical="center"/>
    </xf>
    <xf numFmtId="0" fontId="0" fillId="0" borderId="59" xfId="60" applyFill="1" applyBorder="1" applyAlignment="1">
      <alignment horizontal="center" vertical="center" wrapText="1"/>
      <protection/>
    </xf>
    <xf numFmtId="4" fontId="16" fillId="0" borderId="52" xfId="60" applyNumberFormat="1" applyFont="1" applyFill="1" applyBorder="1" applyAlignment="1">
      <alignment horizontal="center" vertical="center"/>
      <protection/>
    </xf>
    <xf numFmtId="4" fontId="16" fillId="0" borderId="59" xfId="60" applyNumberFormat="1" applyFont="1" applyFill="1" applyBorder="1" applyAlignment="1">
      <alignment horizontal="center" vertical="center"/>
      <protection/>
    </xf>
    <xf numFmtId="0" fontId="16" fillId="0" borderId="52" xfId="60" applyFont="1" applyFill="1" applyBorder="1" applyAlignment="1">
      <alignment horizontal="center" vertical="center"/>
      <protection/>
    </xf>
    <xf numFmtId="0" fontId="16" fillId="0" borderId="59" xfId="60" applyFont="1" applyFill="1" applyBorder="1" applyAlignment="1">
      <alignment horizontal="center" vertical="center"/>
      <protection/>
    </xf>
    <xf numFmtId="4" fontId="16" fillId="0" borderId="62" xfId="60" applyNumberFormat="1" applyFont="1" applyFill="1" applyBorder="1" applyAlignment="1">
      <alignment horizontal="center" vertical="center"/>
      <protection/>
    </xf>
    <xf numFmtId="4" fontId="16" fillId="0" borderId="63" xfId="60" applyNumberFormat="1" applyFont="1" applyFill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/>
      <protection/>
    </xf>
    <xf numFmtId="0" fontId="17" fillId="11" borderId="56" xfId="60" applyFont="1" applyFill="1" applyBorder="1" applyAlignment="1">
      <alignment horizontal="center" vertical="center" wrapText="1"/>
      <protection/>
    </xf>
    <xf numFmtId="0" fontId="17" fillId="11" borderId="99" xfId="60" applyFont="1" applyFill="1" applyBorder="1" applyAlignment="1">
      <alignment horizontal="center" vertical="center" wrapText="1"/>
      <protection/>
    </xf>
    <xf numFmtId="0" fontId="17" fillId="11" borderId="52" xfId="60" applyFont="1" applyFill="1" applyBorder="1" applyAlignment="1">
      <alignment horizontal="center" vertical="center" wrapText="1"/>
      <protection/>
    </xf>
    <xf numFmtId="0" fontId="17" fillId="11" borderId="54" xfId="60" applyFont="1" applyFill="1" applyBorder="1" applyAlignment="1">
      <alignment horizontal="center" vertical="center" wrapText="1"/>
      <protection/>
    </xf>
    <xf numFmtId="0" fontId="17" fillId="26" borderId="52" xfId="60" applyFont="1" applyFill="1" applyBorder="1" applyAlignment="1">
      <alignment horizontal="center" vertical="center"/>
      <protection/>
    </xf>
    <xf numFmtId="0" fontId="17" fillId="26" borderId="54" xfId="60" applyFont="1" applyFill="1" applyBorder="1" applyAlignment="1">
      <alignment horizontal="center" vertical="center"/>
      <protection/>
    </xf>
    <xf numFmtId="4" fontId="16" fillId="0" borderId="62" xfId="45" applyNumberFormat="1" applyFont="1" applyFill="1" applyBorder="1" applyAlignment="1">
      <alignment horizontal="center" vertical="center" wrapText="1"/>
    </xf>
    <xf numFmtId="4" fontId="16" fillId="0" borderId="63" xfId="45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ašvaldības saistības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61">
      <selection activeCell="A1" sqref="A1:E75"/>
    </sheetView>
  </sheetViews>
  <sheetFormatPr defaultColWidth="9.140625" defaultRowHeight="12.75"/>
  <cols>
    <col min="1" max="1" width="10.140625" style="224" customWidth="1"/>
    <col min="2" max="2" width="39.57421875" style="224" customWidth="1"/>
    <col min="3" max="3" width="13.140625" style="230" customWidth="1"/>
    <col min="4" max="4" width="13.421875" style="224" customWidth="1"/>
    <col min="5" max="5" width="15.28125" style="224" customWidth="1"/>
    <col min="6" max="16384" width="9.140625" style="224" customWidth="1"/>
  </cols>
  <sheetData>
    <row r="1" spans="1:7" ht="15">
      <c r="A1" s="3"/>
      <c r="C1" s="225"/>
      <c r="D1" s="226"/>
      <c r="E1" s="226" t="s">
        <v>378</v>
      </c>
      <c r="F1" s="226"/>
      <c r="G1" s="226"/>
    </row>
    <row r="2" spans="3:7" ht="15">
      <c r="C2" s="225"/>
      <c r="D2" s="226"/>
      <c r="E2" s="226" t="s">
        <v>763</v>
      </c>
      <c r="F2" s="226"/>
      <c r="G2" s="226"/>
    </row>
    <row r="3" spans="3:7" ht="15">
      <c r="C3" s="225"/>
      <c r="D3" s="227"/>
      <c r="E3" s="227" t="s">
        <v>764</v>
      </c>
      <c r="F3" s="226"/>
      <c r="G3" s="226"/>
    </row>
    <row r="4" ht="15">
      <c r="C4" s="228"/>
    </row>
    <row r="5" spans="1:5" ht="18.75">
      <c r="A5" s="413" t="s">
        <v>379</v>
      </c>
      <c r="B5" s="413"/>
      <c r="C5" s="413"/>
      <c r="D5" s="413"/>
      <c r="E5" s="413"/>
    </row>
    <row r="6" spans="1:5" ht="15">
      <c r="A6" s="414" t="s">
        <v>380</v>
      </c>
      <c r="B6" s="414"/>
      <c r="C6" s="414"/>
      <c r="D6" s="414"/>
      <c r="E6" s="414"/>
    </row>
    <row r="7" spans="2:5" ht="15.75" thickBot="1">
      <c r="B7" s="229"/>
      <c r="E7" s="226" t="s">
        <v>381</v>
      </c>
    </row>
    <row r="8" spans="1:5" ht="43.5" thickBot="1">
      <c r="A8" s="231" t="s">
        <v>2</v>
      </c>
      <c r="B8" s="232" t="s">
        <v>382</v>
      </c>
      <c r="C8" s="233" t="s">
        <v>383</v>
      </c>
      <c r="D8" s="232" t="s">
        <v>384</v>
      </c>
      <c r="E8" s="234" t="s">
        <v>498</v>
      </c>
    </row>
    <row r="9" spans="1:9" ht="15">
      <c r="A9" s="235"/>
      <c r="B9" s="236" t="s">
        <v>385</v>
      </c>
      <c r="C9" s="237">
        <f>C10+C19+C50+C61</f>
        <v>53921665</v>
      </c>
      <c r="D9" s="237">
        <f>D10+D19+D50+D60</f>
        <v>1510735</v>
      </c>
      <c r="E9" s="237">
        <f>E10+E19+E50+E60</f>
        <v>55432400</v>
      </c>
      <c r="I9" s="226"/>
    </row>
    <row r="10" spans="1:5" ht="15">
      <c r="A10" s="238"/>
      <c r="B10" s="239" t="s">
        <v>386</v>
      </c>
      <c r="C10" s="240">
        <f>C11+C14+C18</f>
        <v>37610356</v>
      </c>
      <c r="D10" s="240">
        <f>D11+D14+D18</f>
        <v>0</v>
      </c>
      <c r="E10" s="240">
        <f>E11+E14+E18</f>
        <v>37610356</v>
      </c>
    </row>
    <row r="11" spans="1:5" ht="15">
      <c r="A11" s="241" t="s">
        <v>25</v>
      </c>
      <c r="B11" s="242" t="s">
        <v>387</v>
      </c>
      <c r="C11" s="243">
        <f>SUM(C12:C13)</f>
        <v>33817179</v>
      </c>
      <c r="D11" s="243">
        <f>SUM(D12:D13)</f>
        <v>0</v>
      </c>
      <c r="E11" s="243">
        <f>SUM(E12:E13)</f>
        <v>33817179</v>
      </c>
    </row>
    <row r="12" spans="1:5" ht="45">
      <c r="A12" s="244" t="s">
        <v>184</v>
      </c>
      <c r="B12" s="245" t="s">
        <v>388</v>
      </c>
      <c r="C12" s="246">
        <v>183741</v>
      </c>
      <c r="D12" s="246"/>
      <c r="E12" s="246">
        <f>C12+D12</f>
        <v>183741</v>
      </c>
    </row>
    <row r="13" spans="1:5" ht="45">
      <c r="A13" s="244" t="s">
        <v>185</v>
      </c>
      <c r="B13" s="245" t="s">
        <v>389</v>
      </c>
      <c r="C13" s="246">
        <f>33192143+441295</f>
        <v>33633438</v>
      </c>
      <c r="D13" s="246"/>
      <c r="E13" s="246">
        <f>C13+D13</f>
        <v>33633438</v>
      </c>
    </row>
    <row r="14" spans="1:5" ht="15">
      <c r="A14" s="247" t="s">
        <v>390</v>
      </c>
      <c r="B14" s="242" t="s">
        <v>391</v>
      </c>
      <c r="C14" s="243">
        <f>SUM(C15:C17)</f>
        <v>3537060</v>
      </c>
      <c r="D14" s="243">
        <f>SUM(D15:D17)</f>
        <v>0</v>
      </c>
      <c r="E14" s="243">
        <f>SUM(E15:E17)</f>
        <v>3537060</v>
      </c>
    </row>
    <row r="15" spans="1:5" ht="15">
      <c r="A15" s="244" t="s">
        <v>392</v>
      </c>
      <c r="B15" s="245" t="s">
        <v>393</v>
      </c>
      <c r="C15" s="246">
        <v>1318171</v>
      </c>
      <c r="D15" s="246"/>
      <c r="E15" s="246">
        <f>C15+D15</f>
        <v>1318171</v>
      </c>
    </row>
    <row r="16" spans="1:5" ht="15">
      <c r="A16" s="244" t="s">
        <v>394</v>
      </c>
      <c r="B16" s="245" t="s">
        <v>395</v>
      </c>
      <c r="C16" s="246">
        <v>1483108</v>
      </c>
      <c r="D16" s="246"/>
      <c r="E16" s="246">
        <f>C16+D16</f>
        <v>1483108</v>
      </c>
    </row>
    <row r="17" spans="1:5" ht="30">
      <c r="A17" s="244" t="s">
        <v>396</v>
      </c>
      <c r="B17" s="245" t="s">
        <v>397</v>
      </c>
      <c r="C17" s="246">
        <v>735781</v>
      </c>
      <c r="D17" s="246"/>
      <c r="E17" s="246">
        <f>C17+D17</f>
        <v>735781</v>
      </c>
    </row>
    <row r="18" spans="1:5" ht="15">
      <c r="A18" s="241" t="s">
        <v>398</v>
      </c>
      <c r="B18" s="242" t="s">
        <v>399</v>
      </c>
      <c r="C18" s="243">
        <v>256117</v>
      </c>
      <c r="D18" s="248"/>
      <c r="E18" s="243">
        <f>C18+D18</f>
        <v>256117</v>
      </c>
    </row>
    <row r="19" spans="1:5" ht="15">
      <c r="A19" s="238"/>
      <c r="B19" s="239" t="s">
        <v>400</v>
      </c>
      <c r="C19" s="240">
        <f>C20+C22+C36+C39+C47</f>
        <v>309474</v>
      </c>
      <c r="D19" s="240">
        <f>D20+D22+D36+D39+D47</f>
        <v>0</v>
      </c>
      <c r="E19" s="240">
        <f>E20+E22+E36+E39+E47</f>
        <v>309474</v>
      </c>
    </row>
    <row r="20" spans="1:5" ht="29.25">
      <c r="A20" s="247" t="s">
        <v>20</v>
      </c>
      <c r="B20" s="242" t="s">
        <v>401</v>
      </c>
      <c r="C20" s="243">
        <f>C21</f>
        <v>640</v>
      </c>
      <c r="D20" s="243">
        <f>D21</f>
        <v>0</v>
      </c>
      <c r="E20" s="243">
        <f>E21</f>
        <v>640</v>
      </c>
    </row>
    <row r="21" spans="1:5" ht="30">
      <c r="A21" s="244" t="s">
        <v>402</v>
      </c>
      <c r="B21" s="245" t="s">
        <v>403</v>
      </c>
      <c r="C21" s="246">
        <v>640</v>
      </c>
      <c r="D21" s="249"/>
      <c r="E21" s="249">
        <f>C21+D21</f>
        <v>640</v>
      </c>
    </row>
    <row r="22" spans="1:5" ht="29.25">
      <c r="A22" s="247" t="s">
        <v>21</v>
      </c>
      <c r="B22" s="242" t="s">
        <v>404</v>
      </c>
      <c r="C22" s="243">
        <f>C23+C28</f>
        <v>66092</v>
      </c>
      <c r="D22" s="243">
        <f>D23+D28</f>
        <v>0</v>
      </c>
      <c r="E22" s="243">
        <f>E23+E28</f>
        <v>66092</v>
      </c>
    </row>
    <row r="23" spans="1:5" ht="29.25">
      <c r="A23" s="250" t="s">
        <v>405</v>
      </c>
      <c r="B23" s="251" t="s">
        <v>406</v>
      </c>
      <c r="C23" s="252">
        <f>SUM(C24:C27)</f>
        <v>19209</v>
      </c>
      <c r="D23" s="252">
        <f>SUM(D24:D27)</f>
        <v>0</v>
      </c>
      <c r="E23" s="252">
        <f>SUM(E24:E27)</f>
        <v>19209</v>
      </c>
    </row>
    <row r="24" spans="1:5" ht="45" customHeight="1">
      <c r="A24" s="244" t="s">
        <v>407</v>
      </c>
      <c r="B24" s="245" t="s">
        <v>408</v>
      </c>
      <c r="C24" s="246">
        <v>2134</v>
      </c>
      <c r="D24" s="249"/>
      <c r="E24" s="249">
        <f>C24+D24</f>
        <v>2134</v>
      </c>
    </row>
    <row r="25" spans="1:5" ht="45">
      <c r="A25" s="244" t="s">
        <v>409</v>
      </c>
      <c r="B25" s="245" t="s">
        <v>410</v>
      </c>
      <c r="C25" s="246">
        <v>4269</v>
      </c>
      <c r="D25" s="249"/>
      <c r="E25" s="249">
        <f>C25+D25</f>
        <v>4269</v>
      </c>
    </row>
    <row r="26" spans="1:5" ht="30">
      <c r="A26" s="244" t="s">
        <v>411</v>
      </c>
      <c r="B26" s="245" t="s">
        <v>412</v>
      </c>
      <c r="C26" s="246">
        <v>2846</v>
      </c>
      <c r="D26" s="249"/>
      <c r="E26" s="249">
        <f>C26+D26</f>
        <v>2846</v>
      </c>
    </row>
    <row r="27" spans="1:5" ht="30">
      <c r="A27" s="244" t="s">
        <v>413</v>
      </c>
      <c r="B27" s="245" t="s">
        <v>414</v>
      </c>
      <c r="C27" s="246">
        <v>9960</v>
      </c>
      <c r="D27" s="249"/>
      <c r="E27" s="249">
        <f>C27+D27</f>
        <v>9960</v>
      </c>
    </row>
    <row r="28" spans="1:5" ht="15">
      <c r="A28" s="250" t="s">
        <v>415</v>
      </c>
      <c r="B28" s="251" t="s">
        <v>416</v>
      </c>
      <c r="C28" s="252">
        <f>SUM(C29:C35)</f>
        <v>46883</v>
      </c>
      <c r="D28" s="252">
        <f>SUM(D29:D34)</f>
        <v>0</v>
      </c>
      <c r="E28" s="252">
        <f>SUM(E29:E35)</f>
        <v>46883</v>
      </c>
    </row>
    <row r="29" spans="1:5" ht="45">
      <c r="A29" s="244" t="s">
        <v>74</v>
      </c>
      <c r="B29" s="245" t="s">
        <v>417</v>
      </c>
      <c r="C29" s="246">
        <f>21343+1000</f>
        <v>22343</v>
      </c>
      <c r="D29" s="249"/>
      <c r="E29" s="249">
        <f aca="true" t="shared" si="0" ref="E29:E35">C29+D29</f>
        <v>22343</v>
      </c>
    </row>
    <row r="30" spans="1:5" ht="45">
      <c r="A30" s="244" t="s">
        <v>75</v>
      </c>
      <c r="B30" s="245" t="s">
        <v>418</v>
      </c>
      <c r="C30" s="246">
        <v>711</v>
      </c>
      <c r="D30" s="249"/>
      <c r="E30" s="249">
        <f t="shared" si="0"/>
        <v>711</v>
      </c>
    </row>
    <row r="31" spans="1:5" ht="30">
      <c r="A31" s="244" t="s">
        <v>419</v>
      </c>
      <c r="B31" s="245" t="s">
        <v>420</v>
      </c>
      <c r="C31" s="246">
        <f>7541-1100</f>
        <v>6441</v>
      </c>
      <c r="D31" s="249"/>
      <c r="E31" s="249">
        <f t="shared" si="0"/>
        <v>6441</v>
      </c>
    </row>
    <row r="32" spans="1:5" ht="30">
      <c r="A32" s="244" t="s">
        <v>421</v>
      </c>
      <c r="B32" s="245" t="s">
        <v>422</v>
      </c>
      <c r="C32" s="246">
        <f>213+100</f>
        <v>313</v>
      </c>
      <c r="D32" s="246"/>
      <c r="E32" s="246">
        <f t="shared" si="0"/>
        <v>313</v>
      </c>
    </row>
    <row r="33" spans="1:5" ht="45">
      <c r="A33" s="244" t="s">
        <v>423</v>
      </c>
      <c r="B33" s="245" t="s">
        <v>424</v>
      </c>
      <c r="C33" s="246">
        <v>4269</v>
      </c>
      <c r="D33" s="246"/>
      <c r="E33" s="246">
        <f t="shared" si="0"/>
        <v>4269</v>
      </c>
    </row>
    <row r="34" spans="1:5" ht="30">
      <c r="A34" s="244" t="s">
        <v>199</v>
      </c>
      <c r="B34" s="245" t="s">
        <v>425</v>
      </c>
      <c r="C34" s="246">
        <v>11383</v>
      </c>
      <c r="D34" s="246"/>
      <c r="E34" s="246">
        <f t="shared" si="0"/>
        <v>11383</v>
      </c>
    </row>
    <row r="35" spans="1:5" ht="15">
      <c r="A35" s="244" t="s">
        <v>426</v>
      </c>
      <c r="B35" s="245" t="s">
        <v>427</v>
      </c>
      <c r="C35" s="246">
        <v>1423</v>
      </c>
      <c r="D35" s="246"/>
      <c r="E35" s="246">
        <f t="shared" si="0"/>
        <v>1423</v>
      </c>
    </row>
    <row r="36" spans="1:5" ht="15">
      <c r="A36" s="247" t="s">
        <v>22</v>
      </c>
      <c r="B36" s="242" t="s">
        <v>428</v>
      </c>
      <c r="C36" s="243">
        <f>SUM(C37:C38)</f>
        <v>206316</v>
      </c>
      <c r="D36" s="243">
        <f>SUM(D37:D38)</f>
        <v>0</v>
      </c>
      <c r="E36" s="243">
        <f>SUM(E37:E38)</f>
        <v>206316</v>
      </c>
    </row>
    <row r="37" spans="1:5" ht="15">
      <c r="A37" s="244" t="s">
        <v>429</v>
      </c>
      <c r="B37" s="245" t="s">
        <v>430</v>
      </c>
      <c r="C37" s="246">
        <v>113829</v>
      </c>
      <c r="D37" s="246"/>
      <c r="E37" s="246">
        <f>C37+D37</f>
        <v>113829</v>
      </c>
    </row>
    <row r="38" spans="1:5" ht="30">
      <c r="A38" s="244" t="s">
        <v>431</v>
      </c>
      <c r="B38" s="245" t="s">
        <v>432</v>
      </c>
      <c r="C38" s="246">
        <v>92487</v>
      </c>
      <c r="D38" s="246"/>
      <c r="E38" s="246">
        <f>C38+D38</f>
        <v>92487</v>
      </c>
    </row>
    <row r="39" spans="1:7" ht="15">
      <c r="A39" s="247" t="s">
        <v>433</v>
      </c>
      <c r="B39" s="242" t="s">
        <v>434</v>
      </c>
      <c r="C39" s="243">
        <f>C40+C44</f>
        <v>7257</v>
      </c>
      <c r="D39" s="243">
        <f>D40+D44</f>
        <v>0</v>
      </c>
      <c r="E39" s="243">
        <f>E40+E44</f>
        <v>7257</v>
      </c>
      <c r="G39" s="253"/>
    </row>
    <row r="40" spans="1:5" ht="15">
      <c r="A40" s="250" t="s">
        <v>435</v>
      </c>
      <c r="B40" s="251" t="s">
        <v>436</v>
      </c>
      <c r="C40" s="252">
        <f>SUM(C41:C43)</f>
        <v>5834</v>
      </c>
      <c r="D40" s="252">
        <f>SUM(D41:D43)</f>
        <v>0</v>
      </c>
      <c r="E40" s="252">
        <f>SUM(E41:E43)</f>
        <v>5834</v>
      </c>
    </row>
    <row r="41" spans="1:5" ht="30">
      <c r="A41" s="244" t="s">
        <v>437</v>
      </c>
      <c r="B41" s="245" t="s">
        <v>438</v>
      </c>
      <c r="C41" s="246">
        <v>2846</v>
      </c>
      <c r="D41" s="246"/>
      <c r="E41" s="246">
        <f>C41+D41</f>
        <v>2846</v>
      </c>
    </row>
    <row r="42" spans="1:5" ht="30">
      <c r="A42" s="244" t="s">
        <v>439</v>
      </c>
      <c r="B42" s="245" t="s">
        <v>440</v>
      </c>
      <c r="C42" s="246">
        <v>142</v>
      </c>
      <c r="D42" s="246"/>
      <c r="E42" s="246">
        <f>C42+D42</f>
        <v>142</v>
      </c>
    </row>
    <row r="43" spans="1:5" ht="30">
      <c r="A43" s="244" t="s">
        <v>441</v>
      </c>
      <c r="B43" s="245" t="s">
        <v>442</v>
      </c>
      <c r="C43" s="246">
        <v>2846</v>
      </c>
      <c r="D43" s="246"/>
      <c r="E43" s="246">
        <f>C43+D43</f>
        <v>2846</v>
      </c>
    </row>
    <row r="44" spans="1:5" ht="15">
      <c r="A44" s="250" t="s">
        <v>443</v>
      </c>
      <c r="B44" s="251" t="s">
        <v>444</v>
      </c>
      <c r="C44" s="252">
        <f>SUM(C45:C46)</f>
        <v>1423</v>
      </c>
      <c r="D44" s="252">
        <f>SUM(D45:D46)</f>
        <v>0</v>
      </c>
      <c r="E44" s="252">
        <f>SUM(E45:E46)</f>
        <v>1423</v>
      </c>
    </row>
    <row r="45" spans="1:5" ht="30" hidden="1">
      <c r="A45" s="244" t="s">
        <v>445</v>
      </c>
      <c r="B45" s="245" t="s">
        <v>446</v>
      </c>
      <c r="C45" s="252"/>
      <c r="D45" s="246"/>
      <c r="E45" s="246">
        <f>C45+D45</f>
        <v>0</v>
      </c>
    </row>
    <row r="46" spans="1:5" ht="45">
      <c r="A46" s="244" t="s">
        <v>447</v>
      </c>
      <c r="B46" s="245" t="s">
        <v>448</v>
      </c>
      <c r="C46" s="246">
        <v>1423</v>
      </c>
      <c r="D46" s="246"/>
      <c r="E46" s="246">
        <f>C46+D46</f>
        <v>1423</v>
      </c>
    </row>
    <row r="47" spans="1:5" ht="43.5">
      <c r="A47" s="247" t="s">
        <v>449</v>
      </c>
      <c r="B47" s="242" t="s">
        <v>450</v>
      </c>
      <c r="C47" s="243">
        <f>SUM(C48:C49)</f>
        <v>29169</v>
      </c>
      <c r="D47" s="243">
        <f>SUM(D48:D49)</f>
        <v>0</v>
      </c>
      <c r="E47" s="243">
        <f>SUM(E48:E49)</f>
        <v>29169</v>
      </c>
    </row>
    <row r="48" spans="1:5" ht="30">
      <c r="A48" s="244" t="s">
        <v>451</v>
      </c>
      <c r="B48" s="245" t="s">
        <v>452</v>
      </c>
      <c r="C48" s="246">
        <v>7826</v>
      </c>
      <c r="D48" s="246"/>
      <c r="E48" s="246">
        <f>C48+D48</f>
        <v>7826</v>
      </c>
    </row>
    <row r="49" spans="1:5" ht="30">
      <c r="A49" s="244" t="s">
        <v>453</v>
      </c>
      <c r="B49" s="245" t="s">
        <v>454</v>
      </c>
      <c r="C49" s="246">
        <v>21343</v>
      </c>
      <c r="D49" s="246"/>
      <c r="E49" s="246">
        <f>C49+D49</f>
        <v>21343</v>
      </c>
    </row>
    <row r="50" spans="1:5" ht="15">
      <c r="A50" s="238"/>
      <c r="B50" s="239" t="s">
        <v>455</v>
      </c>
      <c r="C50" s="240">
        <f>C51+C53+C58</f>
        <v>14635736</v>
      </c>
      <c r="D50" s="254">
        <f>D51+D53+D58</f>
        <v>1494735</v>
      </c>
      <c r="E50" s="240">
        <f>E51+E53+E58</f>
        <v>16130471</v>
      </c>
    </row>
    <row r="51" spans="1:5" ht="43.5">
      <c r="A51" s="241" t="s">
        <v>456</v>
      </c>
      <c r="B51" s="255" t="s">
        <v>457</v>
      </c>
      <c r="C51" s="243">
        <f>C52</f>
        <v>11769</v>
      </c>
      <c r="D51" s="256">
        <f>D52</f>
        <v>13884</v>
      </c>
      <c r="E51" s="243">
        <f>C51+D51</f>
        <v>25653</v>
      </c>
    </row>
    <row r="52" spans="1:5" ht="60">
      <c r="A52" s="257" t="s">
        <v>458</v>
      </c>
      <c r="B52" s="258" t="s">
        <v>459</v>
      </c>
      <c r="C52" s="259">
        <f>9169+2600</f>
        <v>11769</v>
      </c>
      <c r="D52" s="260">
        <v>13884</v>
      </c>
      <c r="E52" s="259">
        <f>C52+D52</f>
        <v>25653</v>
      </c>
    </row>
    <row r="53" spans="1:5" ht="15">
      <c r="A53" s="247" t="s">
        <v>460</v>
      </c>
      <c r="B53" s="242" t="s">
        <v>12</v>
      </c>
      <c r="C53" s="243">
        <f>C54</f>
        <v>13804089</v>
      </c>
      <c r="D53" s="243">
        <f>D54</f>
        <v>1480851</v>
      </c>
      <c r="E53" s="243">
        <f>E54</f>
        <v>15284940</v>
      </c>
    </row>
    <row r="54" spans="1:5" ht="29.25">
      <c r="A54" s="250" t="s">
        <v>461</v>
      </c>
      <c r="B54" s="251" t="s">
        <v>462</v>
      </c>
      <c r="C54" s="252">
        <f>SUM(C55:C57)</f>
        <v>13804089</v>
      </c>
      <c r="D54" s="252">
        <f>SUM(D55:D57)</f>
        <v>1480851</v>
      </c>
      <c r="E54" s="252">
        <f>SUM(E55:E57)</f>
        <v>15284940</v>
      </c>
    </row>
    <row r="55" spans="1:5" ht="30">
      <c r="A55" s="261" t="s">
        <v>463</v>
      </c>
      <c r="B55" s="245" t="s">
        <v>464</v>
      </c>
      <c r="C55" s="246">
        <f>6620282+135334+578020+3213820</f>
        <v>10547456</v>
      </c>
      <c r="D55" s="246"/>
      <c r="E55" s="246">
        <f>C55+D55</f>
        <v>10547456</v>
      </c>
    </row>
    <row r="56" spans="1:7" ht="75">
      <c r="A56" s="261" t="s">
        <v>465</v>
      </c>
      <c r="B56" s="245" t="s">
        <v>466</v>
      </c>
      <c r="C56" s="246">
        <f>195417+516722+2511920+28174</f>
        <v>3252233</v>
      </c>
      <c r="D56" s="246">
        <v>1480851</v>
      </c>
      <c r="E56" s="246">
        <f>C56+D56</f>
        <v>4733084</v>
      </c>
      <c r="G56" s="262"/>
    </row>
    <row r="57" spans="1:5" ht="30">
      <c r="A57" s="261" t="s">
        <v>467</v>
      </c>
      <c r="B57" s="245" t="s">
        <v>468</v>
      </c>
      <c r="C57" s="246">
        <f>3200+1200</f>
        <v>4400</v>
      </c>
      <c r="D57" s="246"/>
      <c r="E57" s="246">
        <f>C57+D57</f>
        <v>4400</v>
      </c>
    </row>
    <row r="58" spans="1:5" ht="15">
      <c r="A58" s="255" t="s">
        <v>469</v>
      </c>
      <c r="B58" s="242" t="s">
        <v>470</v>
      </c>
      <c r="C58" s="243">
        <f>SUM(C59)</f>
        <v>819878</v>
      </c>
      <c r="D58" s="243">
        <f>SUM(D59)</f>
        <v>0</v>
      </c>
      <c r="E58" s="243">
        <f>SUM(E59)</f>
        <v>819878</v>
      </c>
    </row>
    <row r="59" spans="1:5" ht="29.25">
      <c r="A59" s="263" t="s">
        <v>471</v>
      </c>
      <c r="B59" s="251" t="s">
        <v>472</v>
      </c>
      <c r="C59" s="252">
        <v>819878</v>
      </c>
      <c r="D59" s="252"/>
      <c r="E59" s="252">
        <f>C59+D59</f>
        <v>819878</v>
      </c>
    </row>
    <row r="60" spans="1:5" s="266" customFormat="1" ht="28.5" customHeight="1">
      <c r="A60" s="264"/>
      <c r="B60" s="264" t="s">
        <v>473</v>
      </c>
      <c r="C60" s="265">
        <f>SUM(C61)</f>
        <v>1366099</v>
      </c>
      <c r="D60" s="265">
        <f>SUM(D61)</f>
        <v>16000</v>
      </c>
      <c r="E60" s="265">
        <f>SUM(E61)</f>
        <v>1382099</v>
      </c>
    </row>
    <row r="61" spans="1:5" ht="15">
      <c r="A61" s="247" t="s">
        <v>474</v>
      </c>
      <c r="B61" s="255" t="s">
        <v>475</v>
      </c>
      <c r="C61" s="243">
        <f>C63+C69+C62</f>
        <v>1366099</v>
      </c>
      <c r="D61" s="243">
        <f>D63+D69+D62</f>
        <v>16000</v>
      </c>
      <c r="E61" s="243">
        <f>E63+E69+E62</f>
        <v>1382099</v>
      </c>
    </row>
    <row r="62" spans="1:5" ht="29.25">
      <c r="A62" s="267" t="s">
        <v>476</v>
      </c>
      <c r="B62" s="268" t="s">
        <v>477</v>
      </c>
      <c r="C62" s="259">
        <f>43672+2703</f>
        <v>46375</v>
      </c>
      <c r="D62" s="259"/>
      <c r="E62" s="252">
        <f>C62+D62</f>
        <v>46375</v>
      </c>
    </row>
    <row r="63" spans="1:5" ht="43.5">
      <c r="A63" s="250" t="s">
        <v>478</v>
      </c>
      <c r="B63" s="251" t="s">
        <v>479</v>
      </c>
      <c r="C63" s="252">
        <f>SUM(C64:C68)</f>
        <v>1235772</v>
      </c>
      <c r="D63" s="252">
        <f>SUM(D64:D68)</f>
        <v>3200</v>
      </c>
      <c r="E63" s="252">
        <f>SUM(E64:E68)</f>
        <v>1238972</v>
      </c>
    </row>
    <row r="64" spans="1:5" ht="60">
      <c r="A64" s="244" t="s">
        <v>480</v>
      </c>
      <c r="B64" s="245" t="s">
        <v>481</v>
      </c>
      <c r="C64" s="246">
        <v>71</v>
      </c>
      <c r="D64" s="246"/>
      <c r="E64" s="269">
        <f aca="true" t="shared" si="1" ref="E64:E69">C64+D64</f>
        <v>71</v>
      </c>
    </row>
    <row r="65" spans="1:5" ht="15">
      <c r="A65" s="244" t="s">
        <v>482</v>
      </c>
      <c r="B65" s="245" t="s">
        <v>483</v>
      </c>
      <c r="C65" s="246">
        <v>240949</v>
      </c>
      <c r="D65" s="246"/>
      <c r="E65" s="269">
        <f t="shared" si="1"/>
        <v>240949</v>
      </c>
    </row>
    <row r="66" spans="1:5" ht="30">
      <c r="A66" s="244" t="s">
        <v>484</v>
      </c>
      <c r="B66" s="245" t="s">
        <v>485</v>
      </c>
      <c r="C66" s="246">
        <f>1466-569</f>
        <v>897</v>
      </c>
      <c r="D66" s="246"/>
      <c r="E66" s="269">
        <f t="shared" si="1"/>
        <v>897</v>
      </c>
    </row>
    <row r="67" spans="1:5" ht="15">
      <c r="A67" s="244" t="s">
        <v>486</v>
      </c>
      <c r="B67" s="245" t="s">
        <v>487</v>
      </c>
      <c r="C67" s="246">
        <f>349921+7638+3500</f>
        <v>361059</v>
      </c>
      <c r="D67" s="249"/>
      <c r="E67" s="269">
        <f t="shared" si="1"/>
        <v>361059</v>
      </c>
    </row>
    <row r="68" spans="1:5" ht="30">
      <c r="A68" s="244" t="s">
        <v>488</v>
      </c>
      <c r="B68" s="245" t="s">
        <v>489</v>
      </c>
      <c r="C68" s="246">
        <f>664357-7069-24492</f>
        <v>632796</v>
      </c>
      <c r="D68" s="249">
        <v>3200</v>
      </c>
      <c r="E68" s="246">
        <f t="shared" si="1"/>
        <v>635996</v>
      </c>
    </row>
    <row r="69" spans="1:5" ht="29.25">
      <c r="A69" s="250" t="s">
        <v>490</v>
      </c>
      <c r="B69" s="251" t="s">
        <v>491</v>
      </c>
      <c r="C69" s="252">
        <f>47932+36020</f>
        <v>83952</v>
      </c>
      <c r="D69" s="259">
        <v>12800</v>
      </c>
      <c r="E69" s="252">
        <f t="shared" si="1"/>
        <v>96752</v>
      </c>
    </row>
    <row r="70" spans="1:5" ht="15">
      <c r="A70" s="270"/>
      <c r="B70" s="264" t="s">
        <v>492</v>
      </c>
      <c r="C70" s="265">
        <f>C71+C72</f>
        <v>22076113</v>
      </c>
      <c r="D70" s="265">
        <f>D71+D72</f>
        <v>191844</v>
      </c>
      <c r="E70" s="265">
        <f>E71+E72</f>
        <v>22267957</v>
      </c>
    </row>
    <row r="71" spans="1:5" ht="15">
      <c r="A71" s="271" t="s">
        <v>493</v>
      </c>
      <c r="B71" s="12" t="s">
        <v>494</v>
      </c>
      <c r="C71" s="246">
        <v>5821874</v>
      </c>
      <c r="D71" s="246"/>
      <c r="E71" s="246">
        <f>C71+D71</f>
        <v>5821874</v>
      </c>
    </row>
    <row r="72" spans="1:5" ht="15">
      <c r="A72" s="271" t="s">
        <v>495</v>
      </c>
      <c r="B72" s="12" t="s">
        <v>496</v>
      </c>
      <c r="C72" s="246">
        <f>7561046+5325795+1987253+1380145</f>
        <v>16254239</v>
      </c>
      <c r="D72" s="246">
        <v>191844</v>
      </c>
      <c r="E72" s="246">
        <f>C72+D72</f>
        <v>16446083</v>
      </c>
    </row>
    <row r="73" spans="1:5" ht="15">
      <c r="A73" s="272"/>
      <c r="B73" s="273" t="s">
        <v>497</v>
      </c>
      <c r="C73" s="274">
        <f>C9+C70</f>
        <v>75997778</v>
      </c>
      <c r="D73" s="274">
        <f>D9+D70</f>
        <v>1702579</v>
      </c>
      <c r="E73" s="274">
        <f>E9+E70</f>
        <v>77700357</v>
      </c>
    </row>
    <row r="74" spans="1:4" ht="15">
      <c r="A74" s="275"/>
      <c r="B74" s="276"/>
      <c r="C74" s="277"/>
      <c r="D74" s="278"/>
    </row>
    <row r="75" spans="1:5" ht="18.75">
      <c r="A75" s="4" t="s">
        <v>307</v>
      </c>
      <c r="B75" s="4"/>
      <c r="C75" s="123"/>
      <c r="D75" s="124"/>
      <c r="E75" s="125" t="s">
        <v>308</v>
      </c>
    </row>
    <row r="76" ht="15">
      <c r="D76" s="278"/>
    </row>
    <row r="77" ht="15">
      <c r="D77" s="278"/>
    </row>
    <row r="78" ht="15">
      <c r="D78" s="278"/>
    </row>
    <row r="79" ht="15">
      <c r="D79" s="278"/>
    </row>
    <row r="80" ht="15">
      <c r="D80" s="278"/>
    </row>
  </sheetData>
  <sheetProtection/>
  <mergeCells count="2">
    <mergeCell ref="A5:E5"/>
    <mergeCell ref="A6:E6"/>
  </mergeCells>
  <printOptions/>
  <pageMargins left="0.7874015748031497" right="0.3937007874015748" top="0.7086614173228347" bottom="0.4724409448818898" header="0.5118110236220472" footer="0.1574803149606299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8">
      <selection activeCell="A1" sqref="A1:I29"/>
    </sheetView>
  </sheetViews>
  <sheetFormatPr defaultColWidth="9.140625" defaultRowHeight="12.75"/>
  <cols>
    <col min="1" max="1" width="10.7109375" style="0" customWidth="1"/>
    <col min="2" max="2" width="44.00390625" style="0" customWidth="1"/>
    <col min="3" max="3" width="14.140625" style="0" customWidth="1"/>
    <col min="4" max="4" width="13.8515625" style="0" customWidth="1"/>
    <col min="5" max="5" width="12.00390625" style="0" customWidth="1"/>
    <col min="6" max="6" width="13.421875" style="0" customWidth="1"/>
    <col min="7" max="7" width="11.28125" style="0" customWidth="1"/>
    <col min="8" max="8" width="9.7109375" style="0" hidden="1" customWidth="1"/>
    <col min="9" max="9" width="14.28125" style="0" customWidth="1"/>
  </cols>
  <sheetData>
    <row r="1" spans="1:9" ht="12.75" customHeight="1">
      <c r="A1" s="3"/>
      <c r="B1" s="3"/>
      <c r="C1" s="3"/>
      <c r="D1" s="3"/>
      <c r="E1" s="3"/>
      <c r="F1" s="416" t="s">
        <v>179</v>
      </c>
      <c r="G1" s="416"/>
      <c r="H1" s="416"/>
      <c r="I1" s="416"/>
    </row>
    <row r="2" spans="1:9" ht="12.75">
      <c r="A2" s="3"/>
      <c r="B2" s="3"/>
      <c r="C2" s="3"/>
      <c r="D2" s="3"/>
      <c r="E2" s="3"/>
      <c r="F2" s="416" t="s">
        <v>765</v>
      </c>
      <c r="G2" s="416"/>
      <c r="H2" s="416"/>
      <c r="I2" s="416"/>
    </row>
    <row r="3" spans="1:10" ht="12.75">
      <c r="A3" s="3"/>
      <c r="B3" s="3"/>
      <c r="C3" s="3"/>
      <c r="D3" s="3"/>
      <c r="E3" s="3"/>
      <c r="F3" s="416" t="s">
        <v>766</v>
      </c>
      <c r="G3" s="416"/>
      <c r="H3" s="416"/>
      <c r="I3" s="416"/>
      <c r="J3" s="218"/>
    </row>
    <row r="4" spans="1:9" ht="20.25">
      <c r="A4" s="417" t="s">
        <v>350</v>
      </c>
      <c r="B4" s="417"/>
      <c r="C4" s="417"/>
      <c r="D4" s="417"/>
      <c r="E4" s="417"/>
      <c r="F4" s="417"/>
      <c r="G4" s="417"/>
      <c r="H4" s="417"/>
      <c r="I4" s="417"/>
    </row>
    <row r="5" spans="1:9" ht="21" thickBot="1">
      <c r="A5" s="418" t="s">
        <v>173</v>
      </c>
      <c r="B5" s="418"/>
      <c r="C5" s="418"/>
      <c r="D5" s="418"/>
      <c r="E5" s="418"/>
      <c r="F5" s="418"/>
      <c r="G5" s="418"/>
      <c r="H5" s="418"/>
      <c r="I5" s="418"/>
    </row>
    <row r="6" spans="1:9" ht="15.75" customHeight="1">
      <c r="A6" s="421" t="s">
        <v>2</v>
      </c>
      <c r="B6" s="419" t="s">
        <v>14</v>
      </c>
      <c r="C6" s="419" t="s">
        <v>351</v>
      </c>
      <c r="D6" s="415" t="s">
        <v>181</v>
      </c>
      <c r="E6" s="415"/>
      <c r="F6" s="415"/>
      <c r="G6" s="415"/>
      <c r="H6" s="415"/>
      <c r="I6" s="423" t="s">
        <v>499</v>
      </c>
    </row>
    <row r="7" spans="1:10" ht="43.5" thickBot="1">
      <c r="A7" s="422"/>
      <c r="B7" s="420"/>
      <c r="C7" s="420"/>
      <c r="D7" s="97" t="s">
        <v>174</v>
      </c>
      <c r="E7" s="97" t="s">
        <v>300</v>
      </c>
      <c r="F7" s="97" t="s">
        <v>12</v>
      </c>
      <c r="G7" s="97" t="s">
        <v>175</v>
      </c>
      <c r="H7" s="97" t="s">
        <v>361</v>
      </c>
      <c r="I7" s="424"/>
      <c r="J7" s="219"/>
    </row>
    <row r="8" spans="1:9" s="6" customFormat="1" ht="33.75" customHeight="1" thickBot="1">
      <c r="A8" s="61"/>
      <c r="B8" s="62" t="s">
        <v>13</v>
      </c>
      <c r="C8" s="63">
        <f aca="true" t="shared" si="0" ref="C8:I8">C9+C10+C11+C12+C13+C15+C16+C17+C14</f>
        <v>70691209</v>
      </c>
      <c r="D8" s="63">
        <f t="shared" si="0"/>
        <v>191844</v>
      </c>
      <c r="E8" s="63">
        <f>E9+E10+E11+E12+E13+E15+E16+E17+E14</f>
        <v>3200</v>
      </c>
      <c r="F8" s="63">
        <f t="shared" si="0"/>
        <v>108263</v>
      </c>
      <c r="G8" s="63">
        <f t="shared" si="0"/>
        <v>0</v>
      </c>
      <c r="H8" s="63">
        <f t="shared" si="0"/>
        <v>0</v>
      </c>
      <c r="I8" s="64">
        <f t="shared" si="0"/>
        <v>70994516</v>
      </c>
    </row>
    <row r="9" spans="1:9" ht="15.75" thickTop="1">
      <c r="A9" s="9" t="s">
        <v>15</v>
      </c>
      <c r="B9" s="10" t="s">
        <v>4</v>
      </c>
      <c r="C9" s="42">
        <v>6714481</v>
      </c>
      <c r="D9" s="49">
        <f>'3.pielikums'!E13</f>
        <v>-92147</v>
      </c>
      <c r="E9" s="49">
        <f>'3.pielikums'!G13</f>
        <v>0</v>
      </c>
      <c r="F9" s="49">
        <f>'3.pielikums'!I13</f>
        <v>0</v>
      </c>
      <c r="G9" s="42">
        <f>'3.pielikums'!K13</f>
        <v>0</v>
      </c>
      <c r="H9" s="213"/>
      <c r="I9" s="46">
        <f>SUM(C9:G9)</f>
        <v>6622334</v>
      </c>
    </row>
    <row r="10" spans="1:9" ht="15">
      <c r="A10" s="11" t="s">
        <v>16</v>
      </c>
      <c r="B10" s="12" t="s">
        <v>6</v>
      </c>
      <c r="C10" s="42">
        <v>2519604</v>
      </c>
      <c r="D10" s="44">
        <f>'3.pielikums'!E29</f>
        <v>1770</v>
      </c>
      <c r="E10" s="44">
        <f>'3.pielikums'!G29</f>
        <v>0</v>
      </c>
      <c r="F10" s="44">
        <f>'3.pielikums'!I29</f>
        <v>0</v>
      </c>
      <c r="G10" s="43">
        <f>'3.pielikums'!K29</f>
        <v>0</v>
      </c>
      <c r="H10" s="42"/>
      <c r="I10" s="46">
        <f>SUM(C10:G10)</f>
        <v>2521374</v>
      </c>
    </row>
    <row r="11" spans="1:9" ht="15">
      <c r="A11" s="11" t="s">
        <v>17</v>
      </c>
      <c r="B11" s="12" t="s">
        <v>7</v>
      </c>
      <c r="C11" s="42">
        <v>16206030</v>
      </c>
      <c r="D11" s="44">
        <f>'3.pielikums'!E35</f>
        <v>284844</v>
      </c>
      <c r="E11" s="44">
        <f>'3.pielikums'!G35</f>
        <v>0</v>
      </c>
      <c r="F11" s="44">
        <f>'3.pielikums'!I35</f>
        <v>0</v>
      </c>
      <c r="G11" s="43">
        <f>'3.pielikums'!K35</f>
        <v>0</v>
      </c>
      <c r="H11" s="42"/>
      <c r="I11" s="46">
        <f>SUM(C11:G11)</f>
        <v>16490874</v>
      </c>
    </row>
    <row r="12" spans="1:9" ht="15">
      <c r="A12" s="11" t="s">
        <v>18</v>
      </c>
      <c r="B12" s="12" t="s">
        <v>8</v>
      </c>
      <c r="C12" s="42">
        <v>2543642</v>
      </c>
      <c r="D12" s="49">
        <f>'3.pielikums'!E59</f>
        <v>0</v>
      </c>
      <c r="E12" s="49">
        <f>'3.pielikums'!G59</f>
        <v>0</v>
      </c>
      <c r="F12" s="49">
        <f>'3.pielikums'!I59</f>
        <v>1021</v>
      </c>
      <c r="G12" s="42">
        <f>'3.pielikums'!K59</f>
        <v>0</v>
      </c>
      <c r="H12" s="42"/>
      <c r="I12" s="46">
        <f>SUM(C12:G12)</f>
        <v>2544663</v>
      </c>
    </row>
    <row r="13" spans="1:9" ht="15">
      <c r="A13" s="11" t="s">
        <v>19</v>
      </c>
      <c r="B13" s="12" t="s">
        <v>145</v>
      </c>
      <c r="C13" s="42">
        <v>3079948</v>
      </c>
      <c r="D13" s="44">
        <f>'3.pielikums'!E68</f>
        <v>-3000</v>
      </c>
      <c r="E13" s="44">
        <f>'3.pielikums'!G68</f>
        <v>0</v>
      </c>
      <c r="F13" s="44">
        <f>'3.pielikums'!I68</f>
        <v>0</v>
      </c>
      <c r="G13" s="43">
        <f>'3.pielikums'!K68</f>
        <v>0</v>
      </c>
      <c r="H13" s="42"/>
      <c r="I13" s="46">
        <f>SUM(C13:H13)</f>
        <v>3076948</v>
      </c>
    </row>
    <row r="14" spans="1:9" ht="15">
      <c r="A14" s="11" t="s">
        <v>140</v>
      </c>
      <c r="B14" s="12" t="s">
        <v>141</v>
      </c>
      <c r="C14" s="42">
        <v>133345</v>
      </c>
      <c r="D14" s="44">
        <f>'3.pielikums'!E79</f>
        <v>0</v>
      </c>
      <c r="E14" s="44">
        <f>'3.pielikums'!G79</f>
        <v>0</v>
      </c>
      <c r="F14" s="44">
        <f>'3.pielikums'!I79</f>
        <v>0</v>
      </c>
      <c r="G14" s="43">
        <f>'3.pielikums'!K79</f>
        <v>0</v>
      </c>
      <c r="H14" s="42"/>
      <c r="I14" s="46">
        <f>SUM(C14:H14)</f>
        <v>133345</v>
      </c>
    </row>
    <row r="15" spans="1:9" ht="15">
      <c r="A15" s="11" t="s">
        <v>20</v>
      </c>
      <c r="B15" s="12" t="s">
        <v>9</v>
      </c>
      <c r="C15" s="42">
        <v>5388757</v>
      </c>
      <c r="D15" s="44">
        <f>'3.pielikums'!E85</f>
        <v>-723</v>
      </c>
      <c r="E15" s="44">
        <f>'3.pielikums'!G85</f>
        <v>3200</v>
      </c>
      <c r="F15" s="44">
        <f>'3.pielikums'!I85</f>
        <v>0</v>
      </c>
      <c r="G15" s="43">
        <f>'3.pielikums'!K85</f>
        <v>0</v>
      </c>
      <c r="H15" s="42"/>
      <c r="I15" s="46">
        <f>SUM(C15:H15)</f>
        <v>5391234</v>
      </c>
    </row>
    <row r="16" spans="1:9" ht="15">
      <c r="A16" s="11" t="s">
        <v>21</v>
      </c>
      <c r="B16" s="12" t="s">
        <v>10</v>
      </c>
      <c r="C16" s="42">
        <v>29407991</v>
      </c>
      <c r="D16" s="44">
        <f>'3.pielikums'!E112</f>
        <v>1100</v>
      </c>
      <c r="E16" s="44">
        <f>'3.pielikums'!G112</f>
        <v>0</v>
      </c>
      <c r="F16" s="44">
        <f>'3.pielikums'!I112</f>
        <v>107242</v>
      </c>
      <c r="G16" s="43">
        <f>'3.pielikums'!K112</f>
        <v>0</v>
      </c>
      <c r="H16" s="42"/>
      <c r="I16" s="46">
        <f>SUM(C16:H16)</f>
        <v>29516333</v>
      </c>
    </row>
    <row r="17" spans="1:9" ht="15.75" thickBot="1">
      <c r="A17" s="13" t="s">
        <v>22</v>
      </c>
      <c r="B17" s="14" t="s">
        <v>11</v>
      </c>
      <c r="C17" s="220">
        <v>4697411</v>
      </c>
      <c r="D17" s="47">
        <f>'3.pielikums'!E151</f>
        <v>0</v>
      </c>
      <c r="E17" s="47">
        <f>'3.pielikums'!G151</f>
        <v>0</v>
      </c>
      <c r="F17" s="47">
        <f>'3.pielikums'!I151</f>
        <v>0</v>
      </c>
      <c r="G17" s="47">
        <f>'3.pielikums'!K151</f>
        <v>0</v>
      </c>
      <c r="H17" s="47"/>
      <c r="I17" s="48">
        <f>SUM(C17:H17)</f>
        <v>4697411</v>
      </c>
    </row>
    <row r="18" spans="1:9" s="6" customFormat="1" ht="19.5" customHeight="1" thickBot="1">
      <c r="A18" s="65"/>
      <c r="B18" s="66" t="s">
        <v>38</v>
      </c>
      <c r="C18" s="67">
        <f aca="true" t="shared" si="1" ref="C18:H18">C19+C20</f>
        <v>5306569</v>
      </c>
      <c r="D18" s="67">
        <f t="shared" si="1"/>
        <v>0</v>
      </c>
      <c r="E18" s="67">
        <f t="shared" si="1"/>
        <v>0</v>
      </c>
      <c r="F18" s="67">
        <f t="shared" si="1"/>
        <v>1399272</v>
      </c>
      <c r="G18" s="67">
        <f t="shared" si="1"/>
        <v>0</v>
      </c>
      <c r="H18" s="67">
        <f t="shared" si="1"/>
        <v>0</v>
      </c>
      <c r="I18" s="68">
        <f aca="true" t="shared" si="2" ref="I18:I25">SUM(C18:G18)</f>
        <v>6705841</v>
      </c>
    </row>
    <row r="19" spans="1:9" ht="16.5" customHeight="1" thickTop="1">
      <c r="A19" s="15" t="s">
        <v>146</v>
      </c>
      <c r="B19" s="16" t="s">
        <v>147</v>
      </c>
      <c r="C19" s="114">
        <v>4857952</v>
      </c>
      <c r="D19" s="49">
        <f>'3.pielikums'!E182</f>
        <v>0</v>
      </c>
      <c r="E19" s="49">
        <f>'3.pielikums'!G182</f>
        <v>0</v>
      </c>
      <c r="F19" s="49">
        <f>'3.pielikums'!I182</f>
        <v>1399272</v>
      </c>
      <c r="G19" s="42">
        <f>'3.pielikums'!K182</f>
        <v>0</v>
      </c>
      <c r="H19" s="42">
        <v>0</v>
      </c>
      <c r="I19" s="115">
        <f t="shared" si="2"/>
        <v>6257224</v>
      </c>
    </row>
    <row r="20" spans="1:9" ht="22.5" customHeight="1">
      <c r="A20" s="17" t="s">
        <v>86</v>
      </c>
      <c r="B20" s="12" t="s">
        <v>142</v>
      </c>
      <c r="C20" s="127">
        <f>SUM(C21:C25)</f>
        <v>448617</v>
      </c>
      <c r="D20" s="44">
        <f>SUM(D21:D25)</f>
        <v>0</v>
      </c>
      <c r="E20" s="44">
        <f>SUM(E21:E22)</f>
        <v>0</v>
      </c>
      <c r="F20" s="44">
        <f>SUM(F21:F22)</f>
        <v>0</v>
      </c>
      <c r="G20" s="44">
        <f>SUM(G21:G22)</f>
        <v>0</v>
      </c>
      <c r="H20" s="44">
        <v>0</v>
      </c>
      <c r="I20" s="214">
        <f t="shared" si="2"/>
        <v>448617</v>
      </c>
    </row>
    <row r="21" spans="1:9" ht="30">
      <c r="A21" s="17"/>
      <c r="B21" s="37" t="s">
        <v>202</v>
      </c>
      <c r="C21" s="43">
        <v>71144</v>
      </c>
      <c r="D21" s="44">
        <f>'3.pielikums'!E184</f>
        <v>0</v>
      </c>
      <c r="E21" s="44">
        <f>'3.pielikums'!G184</f>
        <v>0</v>
      </c>
      <c r="F21" s="44">
        <f>'3.pielikums'!I184</f>
        <v>0</v>
      </c>
      <c r="G21" s="44">
        <f>'3.pielikums'!K184</f>
        <v>0</v>
      </c>
      <c r="H21" s="44">
        <v>0</v>
      </c>
      <c r="I21" s="214">
        <f t="shared" si="2"/>
        <v>71144</v>
      </c>
    </row>
    <row r="22" spans="1:9" ht="30" hidden="1">
      <c r="A22" s="17"/>
      <c r="B22" s="37" t="s">
        <v>203</v>
      </c>
      <c r="C22" s="43"/>
      <c r="D22" s="44">
        <f>'3.pielikums'!E185</f>
        <v>0</v>
      </c>
      <c r="E22" s="44">
        <f>'3.pielikums'!G185</f>
        <v>0</v>
      </c>
      <c r="F22" s="44">
        <f>'3.pielikums'!I185</f>
        <v>0</v>
      </c>
      <c r="G22" s="44">
        <f>'3.pielikums'!K185</f>
        <v>0</v>
      </c>
      <c r="H22" s="44"/>
      <c r="I22" s="214">
        <f t="shared" si="2"/>
        <v>0</v>
      </c>
    </row>
    <row r="23" spans="1:9" ht="30">
      <c r="A23" s="17"/>
      <c r="B23" s="37" t="s">
        <v>297</v>
      </c>
      <c r="C23" s="43">
        <v>42686</v>
      </c>
      <c r="D23" s="44">
        <f>'3.pielikums'!E187</f>
        <v>0</v>
      </c>
      <c r="E23" s="44">
        <f>'3.pielikums'!G187</f>
        <v>0</v>
      </c>
      <c r="F23" s="44">
        <f>'3.pielikums'!I187</f>
        <v>0</v>
      </c>
      <c r="G23" s="44">
        <f>'3.pielikums'!K187</f>
        <v>0</v>
      </c>
      <c r="H23" s="44">
        <v>0</v>
      </c>
      <c r="I23" s="214">
        <f t="shared" si="2"/>
        <v>42686</v>
      </c>
    </row>
    <row r="24" spans="1:9" ht="30" hidden="1">
      <c r="A24" s="17"/>
      <c r="B24" s="37" t="s">
        <v>301</v>
      </c>
      <c r="C24" s="43"/>
      <c r="D24" s="44">
        <f>'3.pielikums'!E189</f>
        <v>0</v>
      </c>
      <c r="E24" s="44">
        <f>'3.pielikums'!G189</f>
        <v>0</v>
      </c>
      <c r="F24" s="44">
        <f>'3.pielikums'!I189</f>
        <v>0</v>
      </c>
      <c r="G24" s="44">
        <f>'3.pielikums'!K189</f>
        <v>0</v>
      </c>
      <c r="H24" s="44"/>
      <c r="I24" s="214">
        <f t="shared" si="2"/>
        <v>0</v>
      </c>
    </row>
    <row r="25" spans="1:9" ht="30">
      <c r="A25" s="17"/>
      <c r="B25" s="37" t="s">
        <v>128</v>
      </c>
      <c r="C25" s="43">
        <v>334787</v>
      </c>
      <c r="D25" s="44">
        <f>'3.pielikums'!E190</f>
        <v>0</v>
      </c>
      <c r="E25" s="44">
        <f>'3.pielikums'!G190</f>
        <v>0</v>
      </c>
      <c r="F25" s="44">
        <f>'3.pielikums'!I190</f>
        <v>0</v>
      </c>
      <c r="G25" s="44">
        <f>'3.pielikums'!K190</f>
        <v>0</v>
      </c>
      <c r="H25" s="44">
        <v>0</v>
      </c>
      <c r="I25" s="214">
        <f t="shared" si="2"/>
        <v>334787</v>
      </c>
    </row>
    <row r="26" spans="1:9" s="8" customFormat="1" ht="21.75" customHeight="1" thickBot="1">
      <c r="A26" s="69"/>
      <c r="B26" s="91" t="s">
        <v>66</v>
      </c>
      <c r="C26" s="92">
        <f aca="true" t="shared" si="3" ref="C26:I26">C8+C18</f>
        <v>75997778</v>
      </c>
      <c r="D26" s="92">
        <f t="shared" si="3"/>
        <v>191844</v>
      </c>
      <c r="E26" s="92">
        <f t="shared" si="3"/>
        <v>3200</v>
      </c>
      <c r="F26" s="92">
        <f t="shared" si="3"/>
        <v>1507535</v>
      </c>
      <c r="G26" s="92">
        <f t="shared" si="3"/>
        <v>0</v>
      </c>
      <c r="H26" s="92">
        <f t="shared" si="3"/>
        <v>0</v>
      </c>
      <c r="I26" s="93">
        <f t="shared" si="3"/>
        <v>77700357</v>
      </c>
    </row>
    <row r="27" spans="1:9" ht="19.5" customHeight="1" hidden="1" thickBot="1">
      <c r="A27" s="18"/>
      <c r="B27" s="19" t="s">
        <v>143</v>
      </c>
      <c r="C27" s="40">
        <v>0</v>
      </c>
      <c r="D27" s="40">
        <f>'3.pielikums'!E192</f>
        <v>0</v>
      </c>
      <c r="E27" s="57"/>
      <c r="F27" s="57"/>
      <c r="G27" s="50"/>
      <c r="H27" s="212"/>
      <c r="I27" s="51">
        <f>SUM(C27:G27)</f>
        <v>0</v>
      </c>
    </row>
    <row r="28" spans="1:9" s="6" customFormat="1" ht="15" customHeight="1">
      <c r="A28" s="4"/>
      <c r="B28" s="7"/>
      <c r="C28" s="52"/>
      <c r="D28" s="53"/>
      <c r="E28" s="53"/>
      <c r="F28" s="53"/>
      <c r="G28" s="53"/>
      <c r="H28" s="53"/>
      <c r="I28" s="53"/>
    </row>
    <row r="29" spans="1:9" ht="18.75">
      <c r="A29" s="4" t="s">
        <v>307</v>
      </c>
      <c r="B29" s="4"/>
      <c r="C29" s="123"/>
      <c r="D29" s="124"/>
      <c r="I29" s="125" t="s">
        <v>308</v>
      </c>
    </row>
    <row r="31" s="5" customFormat="1" ht="20.25"/>
    <row r="33" ht="12.75">
      <c r="D33" s="58"/>
    </row>
  </sheetData>
  <sheetProtection/>
  <mergeCells count="10">
    <mergeCell ref="D6:H6"/>
    <mergeCell ref="F1:I1"/>
    <mergeCell ref="F2:I2"/>
    <mergeCell ref="F3:I3"/>
    <mergeCell ref="A4:I4"/>
    <mergeCell ref="A5:I5"/>
    <mergeCell ref="C6:C7"/>
    <mergeCell ref="A6:A7"/>
    <mergeCell ref="B6:B7"/>
    <mergeCell ref="I6:I7"/>
  </mergeCells>
  <printOptions/>
  <pageMargins left="0.61" right="0.75" top="0.25" bottom="0.26" header="0.26" footer="0.27"/>
  <pageSetup horizontalDpi="600" verticalDpi="600" orientation="landscape" paperSize="9" scale="95" r:id="rId1"/>
  <ignoredErrors>
    <ignoredError sqref="I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94"/>
  <sheetViews>
    <sheetView zoomScalePageLayoutView="0" workbookViewId="0" topLeftCell="A168">
      <selection activeCell="A1" sqref="A1:L194"/>
    </sheetView>
  </sheetViews>
  <sheetFormatPr defaultColWidth="9.140625" defaultRowHeight="12.75"/>
  <cols>
    <col min="1" max="1" width="10.57421875" style="0" customWidth="1"/>
    <col min="2" max="2" width="38.28125" style="0" customWidth="1"/>
    <col min="3" max="3" width="10.28125" style="60" customWidth="1"/>
    <col min="4" max="4" width="10.28125" style="95" customWidth="1"/>
    <col min="5" max="5" width="9.57421875" style="100" customWidth="1"/>
    <col min="6" max="6" width="9.140625" style="95" customWidth="1"/>
    <col min="7" max="7" width="9.57421875" style="100" customWidth="1"/>
    <col min="8" max="8" width="10.57421875" style="95" customWidth="1"/>
    <col min="9" max="9" width="9.7109375" style="100" customWidth="1"/>
    <col min="10" max="10" width="9.140625" style="95" customWidth="1"/>
    <col min="11" max="11" width="9.140625" style="100" customWidth="1"/>
    <col min="12" max="12" width="9.28125" style="95" customWidth="1"/>
  </cols>
  <sheetData>
    <row r="1" spans="3:12" ht="12.75">
      <c r="C1" s="59"/>
      <c r="D1" s="94"/>
      <c r="F1" s="94"/>
      <c r="H1" s="416" t="s">
        <v>180</v>
      </c>
      <c r="I1" s="416"/>
      <c r="J1" s="416"/>
      <c r="K1" s="416"/>
      <c r="L1" s="94"/>
    </row>
    <row r="2" spans="1:12" ht="15.75">
      <c r="A2" s="1"/>
      <c r="B2" s="1"/>
      <c r="C2" s="3"/>
      <c r="D2" s="96"/>
      <c r="E2" s="101"/>
      <c r="F2" s="96"/>
      <c r="G2" s="101"/>
      <c r="H2" s="428" t="s">
        <v>763</v>
      </c>
      <c r="I2" s="428"/>
      <c r="J2" s="428"/>
      <c r="K2" s="428"/>
      <c r="L2" s="96"/>
    </row>
    <row r="3" spans="1:13" ht="15.75">
      <c r="A3" s="1"/>
      <c r="B3" s="1"/>
      <c r="C3" s="3"/>
      <c r="D3" s="96"/>
      <c r="E3" s="101"/>
      <c r="F3" s="96"/>
      <c r="G3" s="101"/>
      <c r="H3" s="428" t="s">
        <v>767</v>
      </c>
      <c r="I3" s="428"/>
      <c r="J3" s="428"/>
      <c r="K3" s="428"/>
      <c r="L3" s="96"/>
      <c r="M3" s="218"/>
    </row>
    <row r="4" spans="1:12" ht="15.75">
      <c r="A4" s="1"/>
      <c r="B4" s="1"/>
      <c r="C4" s="3"/>
      <c r="D4" s="96"/>
      <c r="E4" s="101"/>
      <c r="F4" s="96"/>
      <c r="G4" s="101"/>
      <c r="H4" s="96"/>
      <c r="I4" s="102"/>
      <c r="J4" s="103"/>
      <c r="K4" s="102"/>
      <c r="L4" s="96"/>
    </row>
    <row r="5" spans="1:12" ht="18.75">
      <c r="A5" s="427" t="s">
        <v>352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</row>
    <row r="6" spans="1:12" ht="15.75">
      <c r="A6" s="1"/>
      <c r="B6" s="3"/>
      <c r="C6" s="3"/>
      <c r="D6" s="2" t="s">
        <v>65</v>
      </c>
      <c r="E6" s="101"/>
      <c r="F6" s="96"/>
      <c r="G6" s="101"/>
      <c r="H6" s="96"/>
      <c r="I6" s="101"/>
      <c r="J6" s="96"/>
      <c r="K6" s="101"/>
      <c r="L6" s="96"/>
    </row>
    <row r="7" spans="1:12" ht="15.75">
      <c r="A7" s="1"/>
      <c r="B7" s="3"/>
      <c r="C7" s="2"/>
      <c r="D7" s="96"/>
      <c r="E7" s="101"/>
      <c r="F7" s="96"/>
      <c r="G7" s="101"/>
      <c r="H7" s="96"/>
      <c r="I7" s="101"/>
      <c r="J7" s="96"/>
      <c r="K7" s="101"/>
      <c r="L7" s="96"/>
    </row>
    <row r="8" spans="1:12" ht="15" customHeight="1" thickBot="1">
      <c r="A8" s="26"/>
      <c r="B8" s="27"/>
      <c r="C8" s="27"/>
      <c r="D8" s="104"/>
      <c r="E8" s="105"/>
      <c r="F8" s="104"/>
      <c r="G8" s="105"/>
      <c r="H8" s="104"/>
      <c r="I8" s="105"/>
      <c r="J8" s="104"/>
      <c r="K8" s="106"/>
      <c r="L8" s="104"/>
    </row>
    <row r="9" spans="1:12" ht="12" customHeight="1" thickBot="1">
      <c r="A9" s="425" t="s">
        <v>2</v>
      </c>
      <c r="B9" s="425" t="s">
        <v>14</v>
      </c>
      <c r="C9" s="429" t="s">
        <v>39</v>
      </c>
      <c r="D9" s="429"/>
      <c r="E9" s="429"/>
      <c r="F9" s="429"/>
      <c r="G9" s="429"/>
      <c r="H9" s="429"/>
      <c r="I9" s="429"/>
      <c r="J9" s="429"/>
      <c r="K9" s="429"/>
      <c r="L9" s="430"/>
    </row>
    <row r="10" spans="1:12" ht="76.5" customHeight="1">
      <c r="A10" s="426"/>
      <c r="B10" s="426"/>
      <c r="C10" s="116" t="s">
        <v>353</v>
      </c>
      <c r="D10" s="117" t="s">
        <v>3</v>
      </c>
      <c r="E10" s="118" t="s">
        <v>162</v>
      </c>
      <c r="F10" s="117" t="s">
        <v>250</v>
      </c>
      <c r="G10" s="118" t="s">
        <v>251</v>
      </c>
      <c r="H10" s="117" t="s">
        <v>163</v>
      </c>
      <c r="I10" s="118" t="s">
        <v>164</v>
      </c>
      <c r="J10" s="117" t="s">
        <v>165</v>
      </c>
      <c r="K10" s="118" t="s">
        <v>166</v>
      </c>
      <c r="L10" s="119" t="s">
        <v>357</v>
      </c>
    </row>
    <row r="11" spans="1:12" ht="13.5" thickBot="1">
      <c r="A11" s="215">
        <v>1</v>
      </c>
      <c r="B11" s="215">
        <v>2</v>
      </c>
      <c r="C11" s="216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1">
        <v>9</v>
      </c>
      <c r="J11" s="120">
        <v>10</v>
      </c>
      <c r="K11" s="120">
        <v>11</v>
      </c>
      <c r="L11" s="217">
        <v>12</v>
      </c>
    </row>
    <row r="12" spans="1:12" ht="26.25" thickBot="1">
      <c r="A12" s="160"/>
      <c r="B12" s="161" t="s">
        <v>13</v>
      </c>
      <c r="C12" s="110">
        <f>D12+E12+F12+G12+H12+I12+J12+K12+L12</f>
        <v>70994516</v>
      </c>
      <c r="D12" s="110">
        <f>D13+D29+D35+D59+D68+D79+D85+D112+D151</f>
        <v>53542278</v>
      </c>
      <c r="E12" s="111">
        <f>E13+E29+E35+E59+E68+E85+E112+E151+E79</f>
        <v>191844</v>
      </c>
      <c r="F12" s="110">
        <f>F13+F29+F35+F59+F68+F85+F112+F151</f>
        <v>1401030</v>
      </c>
      <c r="G12" s="111">
        <f>G13+G29+G35+G59+G68+G85+G112+G151</f>
        <v>3200</v>
      </c>
      <c r="H12" s="110">
        <f>H13+H29+H35+H59+H68+H85+H112+H151+H79</f>
        <v>11717833</v>
      </c>
      <c r="I12" s="111">
        <f>I13+I29+I35+I59+I68+I79+I85+I112+I151</f>
        <v>108263</v>
      </c>
      <c r="J12" s="110">
        <f>J13+J29+J35+J59+J68+J85+J112+J151</f>
        <v>819878</v>
      </c>
      <c r="K12" s="111">
        <f>K13+K29+K35+K59+K68+K79+K85+K112+K151</f>
        <v>0</v>
      </c>
      <c r="L12" s="112">
        <f>L13+L29+L35+L59+L68+L79+L85+L112+L151</f>
        <v>3210190</v>
      </c>
    </row>
    <row r="13" spans="1:12" ht="17.25" customHeight="1">
      <c r="A13" s="206" t="s">
        <v>15</v>
      </c>
      <c r="B13" s="207" t="s">
        <v>4</v>
      </c>
      <c r="C13" s="208">
        <f aca="true" t="shared" si="0" ref="C13:C20">SUM(D13:L13)</f>
        <v>6622334</v>
      </c>
      <c r="D13" s="208">
        <f>SUM(D14+D17+D21+D22+D23+D24+D28)</f>
        <v>5754755</v>
      </c>
      <c r="E13" s="209">
        <f>SUM(E14+E17+E21+E23+E24+E28+E22)</f>
        <v>-92147</v>
      </c>
      <c r="F13" s="208">
        <f aca="true" t="shared" si="1" ref="F13:L13">SUM(F14+F17+F21+F23+F24+F28)</f>
        <v>81132</v>
      </c>
      <c r="G13" s="209">
        <f t="shared" si="1"/>
        <v>0</v>
      </c>
      <c r="H13" s="208">
        <f t="shared" si="1"/>
        <v>0</v>
      </c>
      <c r="I13" s="209">
        <f t="shared" si="1"/>
        <v>0</v>
      </c>
      <c r="J13" s="208">
        <f t="shared" si="1"/>
        <v>754122</v>
      </c>
      <c r="K13" s="209">
        <f t="shared" si="1"/>
        <v>0</v>
      </c>
      <c r="L13" s="210">
        <f t="shared" si="1"/>
        <v>124472</v>
      </c>
    </row>
    <row r="14" spans="1:12" ht="12.75">
      <c r="A14" s="188" t="s">
        <v>25</v>
      </c>
      <c r="B14" s="156" t="s">
        <v>187</v>
      </c>
      <c r="C14" s="157">
        <f t="shared" si="0"/>
        <v>3078754</v>
      </c>
      <c r="D14" s="158">
        <f>SUM(D15:D16)</f>
        <v>2989927</v>
      </c>
      <c r="E14" s="159">
        <f aca="true" t="shared" si="2" ref="E14:L14">SUM(E15:E16)</f>
        <v>0</v>
      </c>
      <c r="F14" s="158">
        <f t="shared" si="2"/>
        <v>81132</v>
      </c>
      <c r="G14" s="159">
        <f t="shared" si="2"/>
        <v>0</v>
      </c>
      <c r="H14" s="158">
        <f t="shared" si="2"/>
        <v>0</v>
      </c>
      <c r="I14" s="159">
        <f t="shared" si="2"/>
        <v>0</v>
      </c>
      <c r="J14" s="158">
        <f t="shared" si="2"/>
        <v>0</v>
      </c>
      <c r="K14" s="159">
        <f t="shared" si="2"/>
        <v>0</v>
      </c>
      <c r="L14" s="189">
        <f t="shared" si="2"/>
        <v>7695</v>
      </c>
    </row>
    <row r="15" spans="1:12" ht="12.75">
      <c r="A15" s="162" t="s">
        <v>184</v>
      </c>
      <c r="B15" s="140" t="s">
        <v>127</v>
      </c>
      <c r="C15" s="141">
        <f t="shared" si="0"/>
        <v>3078754</v>
      </c>
      <c r="D15" s="41">
        <f>2970927+19000</f>
        <v>2989927</v>
      </c>
      <c r="E15" s="38"/>
      <c r="F15" s="41">
        <v>81132</v>
      </c>
      <c r="G15" s="38"/>
      <c r="H15" s="41"/>
      <c r="I15" s="39"/>
      <c r="J15" s="41"/>
      <c r="K15" s="38"/>
      <c r="L15" s="163">
        <v>7695</v>
      </c>
    </row>
    <row r="16" spans="1:12" ht="38.25" hidden="1">
      <c r="A16" s="162" t="s">
        <v>185</v>
      </c>
      <c r="B16" s="140" t="s">
        <v>186</v>
      </c>
      <c r="C16" s="82">
        <f t="shared" si="0"/>
        <v>0</v>
      </c>
      <c r="D16" s="41">
        <v>0</v>
      </c>
      <c r="E16" s="38"/>
      <c r="F16" s="41"/>
      <c r="G16" s="38"/>
      <c r="H16" s="41"/>
      <c r="I16" s="39">
        <v>0</v>
      </c>
      <c r="J16" s="32"/>
      <c r="K16" s="28"/>
      <c r="L16" s="33">
        <v>0</v>
      </c>
    </row>
    <row r="17" spans="1:12" ht="12.75">
      <c r="A17" s="164" t="s">
        <v>23</v>
      </c>
      <c r="B17" s="142" t="s">
        <v>50</v>
      </c>
      <c r="C17" s="82">
        <f t="shared" si="0"/>
        <v>312620</v>
      </c>
      <c r="D17" s="54">
        <f>SUM(D18:D20)</f>
        <v>312620</v>
      </c>
      <c r="E17" s="70">
        <f>SUM(E18:E20)</f>
        <v>0</v>
      </c>
      <c r="F17" s="54"/>
      <c r="G17" s="34"/>
      <c r="H17" s="54"/>
      <c r="I17" s="34"/>
      <c r="J17" s="54"/>
      <c r="K17" s="34"/>
      <c r="L17" s="56">
        <f>L18+L19+L20</f>
        <v>0</v>
      </c>
    </row>
    <row r="18" spans="1:12" ht="25.5">
      <c r="A18" s="200" t="s">
        <v>132</v>
      </c>
      <c r="B18" s="153" t="s">
        <v>204</v>
      </c>
      <c r="C18" s="122">
        <f t="shared" si="0"/>
        <v>42686</v>
      </c>
      <c r="D18" s="204">
        <v>42686</v>
      </c>
      <c r="E18" s="72"/>
      <c r="F18" s="204"/>
      <c r="G18" s="72"/>
      <c r="H18" s="204"/>
      <c r="I18" s="72"/>
      <c r="J18" s="204"/>
      <c r="K18" s="72"/>
      <c r="L18" s="205"/>
    </row>
    <row r="19" spans="1:12" ht="25.5">
      <c r="A19" s="162" t="s">
        <v>133</v>
      </c>
      <c r="B19" s="140" t="s">
        <v>310</v>
      </c>
      <c r="C19" s="107">
        <f t="shared" si="0"/>
        <v>168349</v>
      </c>
      <c r="D19" s="71">
        <v>168349</v>
      </c>
      <c r="E19" s="72"/>
      <c r="F19" s="71"/>
      <c r="G19" s="73"/>
      <c r="H19" s="71"/>
      <c r="I19" s="73"/>
      <c r="J19" s="71"/>
      <c r="K19" s="73"/>
      <c r="L19" s="165"/>
    </row>
    <row r="20" spans="1:12" ht="38.25">
      <c r="A20" s="162" t="s">
        <v>176</v>
      </c>
      <c r="B20" s="140" t="s">
        <v>330</v>
      </c>
      <c r="C20" s="107">
        <f t="shared" si="0"/>
        <v>101585</v>
      </c>
      <c r="D20" s="71">
        <v>101585</v>
      </c>
      <c r="E20" s="72"/>
      <c r="F20" s="71"/>
      <c r="G20" s="73"/>
      <c r="H20" s="71"/>
      <c r="I20" s="73"/>
      <c r="J20" s="71"/>
      <c r="K20" s="73"/>
      <c r="L20" s="165"/>
    </row>
    <row r="21" spans="1:12" ht="39.75">
      <c r="A21" s="164" t="s">
        <v>31</v>
      </c>
      <c r="B21" s="142" t="s">
        <v>206</v>
      </c>
      <c r="C21" s="82">
        <f aca="true" t="shared" si="3" ref="C21:C28">SUM(D21:L21)</f>
        <v>390139</v>
      </c>
      <c r="D21" s="54">
        <v>390139</v>
      </c>
      <c r="E21" s="70"/>
      <c r="F21" s="54"/>
      <c r="G21" s="34"/>
      <c r="H21" s="54"/>
      <c r="I21" s="34"/>
      <c r="J21" s="54"/>
      <c r="K21" s="34"/>
      <c r="L21" s="56"/>
    </row>
    <row r="22" spans="1:12" ht="26.25" hidden="1">
      <c r="A22" s="164" t="s">
        <v>252</v>
      </c>
      <c r="B22" s="142" t="s">
        <v>253</v>
      </c>
      <c r="C22" s="82">
        <f t="shared" si="3"/>
        <v>0</v>
      </c>
      <c r="D22" s="54"/>
      <c r="E22" s="70"/>
      <c r="F22" s="54"/>
      <c r="G22" s="34"/>
      <c r="H22" s="54"/>
      <c r="I22" s="34"/>
      <c r="J22" s="54"/>
      <c r="K22" s="34"/>
      <c r="L22" s="56"/>
    </row>
    <row r="23" spans="1:12" ht="27">
      <c r="A23" s="164" t="s">
        <v>24</v>
      </c>
      <c r="B23" s="142" t="s">
        <v>207</v>
      </c>
      <c r="C23" s="82">
        <f t="shared" si="3"/>
        <v>406895</v>
      </c>
      <c r="D23" s="54">
        <f>882181-385286</f>
        <v>496895</v>
      </c>
      <c r="E23" s="279">
        <v>-90000</v>
      </c>
      <c r="F23" s="54"/>
      <c r="G23" s="34"/>
      <c r="H23" s="54"/>
      <c r="I23" s="34"/>
      <c r="J23" s="54"/>
      <c r="K23" s="34"/>
      <c r="L23" s="56"/>
    </row>
    <row r="24" spans="1:12" ht="25.5">
      <c r="A24" s="164" t="s">
        <v>26</v>
      </c>
      <c r="B24" s="142" t="s">
        <v>5</v>
      </c>
      <c r="C24" s="82">
        <f t="shared" si="3"/>
        <v>2362545</v>
      </c>
      <c r="D24" s="54">
        <f>SUM(D25:D27)</f>
        <v>1491646</v>
      </c>
      <c r="E24" s="34">
        <f aca="true" t="shared" si="4" ref="E24:L24">SUM(E25:E27)</f>
        <v>0</v>
      </c>
      <c r="F24" s="54">
        <f t="shared" si="4"/>
        <v>0</v>
      </c>
      <c r="G24" s="34">
        <f t="shared" si="4"/>
        <v>0</v>
      </c>
      <c r="H24" s="54">
        <f t="shared" si="4"/>
        <v>0</v>
      </c>
      <c r="I24" s="34">
        <f t="shared" si="4"/>
        <v>0</v>
      </c>
      <c r="J24" s="54">
        <f t="shared" si="4"/>
        <v>754122</v>
      </c>
      <c r="K24" s="34">
        <f t="shared" si="4"/>
        <v>0</v>
      </c>
      <c r="L24" s="56">
        <f t="shared" si="4"/>
        <v>116777</v>
      </c>
    </row>
    <row r="25" spans="1:12" ht="25.5">
      <c r="A25" s="162" t="s">
        <v>51</v>
      </c>
      <c r="B25" s="140" t="s">
        <v>54</v>
      </c>
      <c r="C25" s="107">
        <f t="shared" si="3"/>
        <v>754122</v>
      </c>
      <c r="D25" s="32">
        <v>-116777</v>
      </c>
      <c r="E25" s="38"/>
      <c r="F25" s="32"/>
      <c r="G25" s="28"/>
      <c r="H25" s="32"/>
      <c r="I25" s="28"/>
      <c r="J25" s="32">
        <v>754122</v>
      </c>
      <c r="K25" s="28"/>
      <c r="L25" s="33">
        <v>116777</v>
      </c>
    </row>
    <row r="26" spans="1:12" ht="25.5">
      <c r="A26" s="162" t="s">
        <v>52</v>
      </c>
      <c r="B26" s="140" t="s">
        <v>55</v>
      </c>
      <c r="C26" s="107">
        <f t="shared" si="3"/>
        <v>342411</v>
      </c>
      <c r="D26" s="32">
        <v>342411</v>
      </c>
      <c r="E26" s="38"/>
      <c r="F26" s="32"/>
      <c r="G26" s="28"/>
      <c r="H26" s="32"/>
      <c r="I26" s="28"/>
      <c r="J26" s="32"/>
      <c r="K26" s="28"/>
      <c r="L26" s="33"/>
    </row>
    <row r="27" spans="1:12" ht="25.5">
      <c r="A27" s="162" t="s">
        <v>53</v>
      </c>
      <c r="B27" s="140" t="s">
        <v>120</v>
      </c>
      <c r="C27" s="107">
        <f t="shared" si="3"/>
        <v>1266012</v>
      </c>
      <c r="D27" s="32">
        <v>1266012</v>
      </c>
      <c r="E27" s="38"/>
      <c r="F27" s="32"/>
      <c r="G27" s="28"/>
      <c r="H27" s="32"/>
      <c r="I27" s="28"/>
      <c r="J27" s="32"/>
      <c r="K27" s="28"/>
      <c r="L27" s="33"/>
    </row>
    <row r="28" spans="1:12" ht="52.5">
      <c r="A28" s="202" t="s">
        <v>27</v>
      </c>
      <c r="B28" s="203" t="s">
        <v>205</v>
      </c>
      <c r="C28" s="141">
        <f t="shared" si="3"/>
        <v>71381</v>
      </c>
      <c r="D28" s="75">
        <f>142182-57625-29743+18714</f>
        <v>73528</v>
      </c>
      <c r="E28" s="279">
        <f>-3570+1423</f>
        <v>-2147</v>
      </c>
      <c r="F28" s="75"/>
      <c r="G28" s="70"/>
      <c r="H28" s="75"/>
      <c r="I28" s="70"/>
      <c r="J28" s="75"/>
      <c r="K28" s="70"/>
      <c r="L28" s="170"/>
    </row>
    <row r="29" spans="1:12" s="113" customFormat="1" ht="13.5">
      <c r="A29" s="166" t="s">
        <v>16</v>
      </c>
      <c r="B29" s="143" t="s">
        <v>6</v>
      </c>
      <c r="C29" s="144">
        <f>SUM(D29:L29)</f>
        <v>2521374</v>
      </c>
      <c r="D29" s="144">
        <f aca="true" t="shared" si="5" ref="D29:L29">D30+D31</f>
        <v>2292954</v>
      </c>
      <c r="E29" s="145">
        <f t="shared" si="5"/>
        <v>1770</v>
      </c>
      <c r="F29" s="144">
        <f t="shared" si="5"/>
        <v>213648</v>
      </c>
      <c r="G29" s="145">
        <f t="shared" si="5"/>
        <v>0</v>
      </c>
      <c r="H29" s="144">
        <f t="shared" si="5"/>
        <v>0</v>
      </c>
      <c r="I29" s="145">
        <f t="shared" si="5"/>
        <v>0</v>
      </c>
      <c r="J29" s="144">
        <f t="shared" si="5"/>
        <v>0</v>
      </c>
      <c r="K29" s="145">
        <f t="shared" si="5"/>
        <v>0</v>
      </c>
      <c r="L29" s="167">
        <f t="shared" si="5"/>
        <v>13002</v>
      </c>
    </row>
    <row r="30" spans="1:12" ht="27">
      <c r="A30" s="164" t="s">
        <v>208</v>
      </c>
      <c r="B30" s="146" t="s">
        <v>311</v>
      </c>
      <c r="C30" s="82">
        <f aca="true" t="shared" si="6" ref="C30:C37">SUM(D30:L30)</f>
        <v>2364181</v>
      </c>
      <c r="D30" s="75">
        <f>2203045-21599</f>
        <v>2181446</v>
      </c>
      <c r="E30" s="279">
        <v>1770</v>
      </c>
      <c r="F30" s="54">
        <v>169976</v>
      </c>
      <c r="G30" s="34"/>
      <c r="H30" s="54"/>
      <c r="I30" s="34"/>
      <c r="J30" s="54"/>
      <c r="K30" s="34"/>
      <c r="L30" s="56">
        <v>10989</v>
      </c>
    </row>
    <row r="31" spans="1:12" ht="25.5">
      <c r="A31" s="164" t="s">
        <v>28</v>
      </c>
      <c r="B31" s="142" t="s">
        <v>56</v>
      </c>
      <c r="C31" s="82">
        <f t="shared" si="6"/>
        <v>157193</v>
      </c>
      <c r="D31" s="54">
        <f>SUM(D32:D34)</f>
        <v>111508</v>
      </c>
      <c r="E31" s="34">
        <f aca="true" t="shared" si="7" ref="E31:K31">SUM(E32:E34)</f>
        <v>0</v>
      </c>
      <c r="F31" s="54">
        <f t="shared" si="7"/>
        <v>43672</v>
      </c>
      <c r="G31" s="34">
        <f t="shared" si="7"/>
        <v>0</v>
      </c>
      <c r="H31" s="54">
        <f t="shared" si="7"/>
        <v>0</v>
      </c>
      <c r="I31" s="34">
        <f t="shared" si="7"/>
        <v>0</v>
      </c>
      <c r="J31" s="54">
        <f t="shared" si="7"/>
        <v>0</v>
      </c>
      <c r="K31" s="34">
        <f t="shared" si="7"/>
        <v>0</v>
      </c>
      <c r="L31" s="56">
        <f>SUM(L32:L34)</f>
        <v>2013</v>
      </c>
    </row>
    <row r="32" spans="1:12" ht="25.5">
      <c r="A32" s="162" t="s">
        <v>73</v>
      </c>
      <c r="B32" s="140" t="s">
        <v>331</v>
      </c>
      <c r="C32" s="107">
        <f t="shared" si="6"/>
        <v>107377</v>
      </c>
      <c r="D32" s="32">
        <v>107377</v>
      </c>
      <c r="E32" s="39"/>
      <c r="F32" s="32"/>
      <c r="G32" s="29"/>
      <c r="H32" s="32"/>
      <c r="I32" s="29"/>
      <c r="J32" s="32"/>
      <c r="K32" s="29"/>
      <c r="L32" s="33"/>
    </row>
    <row r="33" spans="1:12" ht="51">
      <c r="A33" s="162" t="s">
        <v>254</v>
      </c>
      <c r="B33" s="140" t="s">
        <v>255</v>
      </c>
      <c r="C33" s="107">
        <f t="shared" si="6"/>
        <v>6144</v>
      </c>
      <c r="D33" s="32">
        <f>854+3277</f>
        <v>4131</v>
      </c>
      <c r="E33" s="39"/>
      <c r="F33" s="32"/>
      <c r="G33" s="29"/>
      <c r="H33" s="32"/>
      <c r="I33" s="29"/>
      <c r="J33" s="32"/>
      <c r="K33" s="29"/>
      <c r="L33" s="33">
        <v>2013</v>
      </c>
    </row>
    <row r="34" spans="1:12" ht="25.5">
      <c r="A34" s="162" t="s">
        <v>358</v>
      </c>
      <c r="B34" s="140" t="s">
        <v>359</v>
      </c>
      <c r="C34" s="107">
        <f t="shared" si="6"/>
        <v>43672</v>
      </c>
      <c r="D34" s="32"/>
      <c r="E34" s="39"/>
      <c r="F34" s="32">
        <v>43672</v>
      </c>
      <c r="G34" s="29"/>
      <c r="H34" s="32"/>
      <c r="I34" s="29"/>
      <c r="J34" s="32"/>
      <c r="K34" s="29"/>
      <c r="L34" s="33"/>
    </row>
    <row r="35" spans="1:12" s="113" customFormat="1" ht="13.5">
      <c r="A35" s="166" t="s">
        <v>17</v>
      </c>
      <c r="B35" s="143" t="s">
        <v>7</v>
      </c>
      <c r="C35" s="144">
        <f t="shared" si="6"/>
        <v>16490874</v>
      </c>
      <c r="D35" s="144">
        <f aca="true" t="shared" si="8" ref="D35:L35">D36+D44+D47</f>
        <v>13195377</v>
      </c>
      <c r="E35" s="145">
        <f t="shared" si="8"/>
        <v>284844</v>
      </c>
      <c r="F35" s="144">
        <f t="shared" si="8"/>
        <v>84867</v>
      </c>
      <c r="G35" s="145">
        <f t="shared" si="8"/>
        <v>0</v>
      </c>
      <c r="H35" s="144">
        <f t="shared" si="8"/>
        <v>796754</v>
      </c>
      <c r="I35" s="145">
        <f t="shared" si="8"/>
        <v>0</v>
      </c>
      <c r="J35" s="144">
        <f t="shared" si="8"/>
        <v>39840</v>
      </c>
      <c r="K35" s="145">
        <f t="shared" si="8"/>
        <v>0</v>
      </c>
      <c r="L35" s="167">
        <f t="shared" si="8"/>
        <v>2089192</v>
      </c>
    </row>
    <row r="36" spans="1:12" ht="12.75">
      <c r="A36" s="164" t="s">
        <v>29</v>
      </c>
      <c r="B36" s="142" t="s">
        <v>30</v>
      </c>
      <c r="C36" s="82">
        <f t="shared" si="6"/>
        <v>11441086</v>
      </c>
      <c r="D36" s="54">
        <f aca="true" t="shared" si="9" ref="D36:L36">D37+D38+D39+D40+D41+D42+D43</f>
        <v>8976800</v>
      </c>
      <c r="E36" s="34">
        <f t="shared" si="9"/>
        <v>0</v>
      </c>
      <c r="F36" s="54">
        <f t="shared" si="9"/>
        <v>0</v>
      </c>
      <c r="G36" s="34">
        <f t="shared" si="9"/>
        <v>0</v>
      </c>
      <c r="H36" s="54">
        <f t="shared" si="9"/>
        <v>576307</v>
      </c>
      <c r="I36" s="34">
        <f t="shared" si="9"/>
        <v>0</v>
      </c>
      <c r="J36" s="54">
        <f t="shared" si="9"/>
        <v>0</v>
      </c>
      <c r="K36" s="34">
        <f t="shared" si="9"/>
        <v>0</v>
      </c>
      <c r="L36" s="54">
        <f t="shared" si="9"/>
        <v>1887979</v>
      </c>
    </row>
    <row r="37" spans="1:12" ht="25.5">
      <c r="A37" s="168" t="s">
        <v>57</v>
      </c>
      <c r="B37" s="140" t="s">
        <v>121</v>
      </c>
      <c r="C37" s="107">
        <f t="shared" si="6"/>
        <v>380857</v>
      </c>
      <c r="D37" s="41">
        <f>404013-23156</f>
        <v>380857</v>
      </c>
      <c r="E37" s="38"/>
      <c r="F37" s="41"/>
      <c r="G37" s="38"/>
      <c r="H37" s="41"/>
      <c r="I37" s="38"/>
      <c r="J37" s="41"/>
      <c r="K37" s="28"/>
      <c r="L37" s="33"/>
    </row>
    <row r="38" spans="1:12" ht="25.5">
      <c r="A38" s="162" t="s">
        <v>88</v>
      </c>
      <c r="B38" s="147" t="s">
        <v>67</v>
      </c>
      <c r="C38" s="81">
        <f aca="true" t="shared" si="10" ref="C38:C68">SUM(D38:L38)</f>
        <v>1821917</v>
      </c>
      <c r="D38" s="32">
        <f>1556622+265295</f>
        <v>1821917</v>
      </c>
      <c r="E38" s="38"/>
      <c r="F38" s="32"/>
      <c r="G38" s="28"/>
      <c r="H38" s="32"/>
      <c r="I38" s="28"/>
      <c r="J38" s="32"/>
      <c r="K38" s="28"/>
      <c r="L38" s="33"/>
    </row>
    <row r="39" spans="1:12" ht="38.25">
      <c r="A39" s="168" t="s">
        <v>189</v>
      </c>
      <c r="B39" s="147" t="s">
        <v>209</v>
      </c>
      <c r="C39" s="148">
        <f t="shared" si="10"/>
        <v>0</v>
      </c>
      <c r="D39" s="41">
        <v>-1581</v>
      </c>
      <c r="E39" s="31"/>
      <c r="F39" s="32"/>
      <c r="G39" s="28"/>
      <c r="H39" s="32"/>
      <c r="I39" s="28"/>
      <c r="J39" s="32"/>
      <c r="K39" s="28"/>
      <c r="L39" s="33">
        <v>1581</v>
      </c>
    </row>
    <row r="40" spans="1:12" ht="38.25" hidden="1">
      <c r="A40" s="168" t="s">
        <v>256</v>
      </c>
      <c r="B40" s="147" t="s">
        <v>257</v>
      </c>
      <c r="C40" s="148">
        <f t="shared" si="10"/>
        <v>0</v>
      </c>
      <c r="D40" s="41"/>
      <c r="E40" s="31"/>
      <c r="F40" s="32"/>
      <c r="G40" s="28"/>
      <c r="H40" s="41"/>
      <c r="I40" s="28"/>
      <c r="J40" s="32"/>
      <c r="K40" s="28"/>
      <c r="L40" s="33"/>
    </row>
    <row r="41" spans="1:12" ht="38.25">
      <c r="A41" s="168" t="s">
        <v>328</v>
      </c>
      <c r="B41" s="147" t="s">
        <v>329</v>
      </c>
      <c r="C41" s="148">
        <f>SUM(D41:L41)</f>
        <v>889004</v>
      </c>
      <c r="D41" s="41">
        <v>663525</v>
      </c>
      <c r="E41" s="31"/>
      <c r="F41" s="32"/>
      <c r="G41" s="28"/>
      <c r="H41" s="41">
        <v>78307</v>
      </c>
      <c r="I41" s="28"/>
      <c r="J41" s="32"/>
      <c r="K41" s="28"/>
      <c r="L41" s="33">
        <v>147172</v>
      </c>
    </row>
    <row r="42" spans="1:12" ht="38.25">
      <c r="A42" s="168" t="s">
        <v>360</v>
      </c>
      <c r="B42" s="147" t="s">
        <v>354</v>
      </c>
      <c r="C42" s="148">
        <f>SUM(D42:L42)</f>
        <v>7065021</v>
      </c>
      <c r="D42" s="41">
        <v>5325795</v>
      </c>
      <c r="E42" s="31"/>
      <c r="F42" s="32"/>
      <c r="G42" s="28"/>
      <c r="H42" s="41"/>
      <c r="I42" s="28"/>
      <c r="J42" s="32"/>
      <c r="K42" s="28"/>
      <c r="L42" s="33">
        <v>1739226</v>
      </c>
    </row>
    <row r="43" spans="1:12" ht="38.25">
      <c r="A43" s="168" t="s">
        <v>363</v>
      </c>
      <c r="B43" s="147" t="s">
        <v>364</v>
      </c>
      <c r="C43" s="148">
        <f>SUM(D43:L43)</f>
        <v>1284287</v>
      </c>
      <c r="D43" s="41">
        <f>786287</f>
        <v>786287</v>
      </c>
      <c r="E43" s="31"/>
      <c r="F43" s="32"/>
      <c r="G43" s="28"/>
      <c r="H43" s="41">
        <v>498000</v>
      </c>
      <c r="I43" s="28"/>
      <c r="J43" s="32"/>
      <c r="K43" s="28"/>
      <c r="L43" s="33"/>
    </row>
    <row r="44" spans="1:12" ht="12.75">
      <c r="A44" s="169" t="s">
        <v>89</v>
      </c>
      <c r="B44" s="149" t="s">
        <v>134</v>
      </c>
      <c r="C44" s="129">
        <f t="shared" si="10"/>
        <v>314858</v>
      </c>
      <c r="D44" s="75">
        <f aca="true" t="shared" si="11" ref="D44:L44">D45+D46</f>
        <v>239340</v>
      </c>
      <c r="E44" s="75">
        <f t="shared" si="11"/>
        <v>0</v>
      </c>
      <c r="F44" s="75">
        <f t="shared" si="11"/>
        <v>64947</v>
      </c>
      <c r="G44" s="75">
        <f t="shared" si="11"/>
        <v>0</v>
      </c>
      <c r="H44" s="75">
        <f t="shared" si="11"/>
        <v>0</v>
      </c>
      <c r="I44" s="75">
        <f t="shared" si="11"/>
        <v>0</v>
      </c>
      <c r="J44" s="75">
        <f t="shared" si="11"/>
        <v>0</v>
      </c>
      <c r="K44" s="75">
        <f t="shared" si="11"/>
        <v>0</v>
      </c>
      <c r="L44" s="170">
        <f t="shared" si="11"/>
        <v>10571</v>
      </c>
    </row>
    <row r="45" spans="1:12" ht="12.75">
      <c r="A45" s="162" t="s">
        <v>139</v>
      </c>
      <c r="B45" s="147" t="s">
        <v>312</v>
      </c>
      <c r="C45" s="81">
        <f t="shared" si="10"/>
        <v>314858</v>
      </c>
      <c r="D45" s="30">
        <f>232340+7000</f>
        <v>239340</v>
      </c>
      <c r="E45" s="28"/>
      <c r="F45" s="30">
        <v>64947</v>
      </c>
      <c r="G45" s="38"/>
      <c r="H45" s="32"/>
      <c r="I45" s="28"/>
      <c r="J45" s="32"/>
      <c r="K45" s="28"/>
      <c r="L45" s="33">
        <v>10571</v>
      </c>
    </row>
    <row r="46" spans="1:12" ht="38.25" hidden="1">
      <c r="A46" s="162" t="s">
        <v>258</v>
      </c>
      <c r="B46" s="147" t="s">
        <v>332</v>
      </c>
      <c r="C46" s="81">
        <f t="shared" si="10"/>
        <v>0</v>
      </c>
      <c r="D46" s="30"/>
      <c r="E46" s="28"/>
      <c r="F46" s="30"/>
      <c r="G46" s="38"/>
      <c r="H46" s="32"/>
      <c r="I46" s="28"/>
      <c r="J46" s="32"/>
      <c r="K46" s="28"/>
      <c r="L46" s="33"/>
    </row>
    <row r="47" spans="1:12" ht="12.75">
      <c r="A47" s="169" t="s">
        <v>135</v>
      </c>
      <c r="B47" s="149" t="s">
        <v>136</v>
      </c>
      <c r="C47" s="129">
        <f t="shared" si="10"/>
        <v>4734930</v>
      </c>
      <c r="D47" s="54">
        <f>SUM(D48:D58)</f>
        <v>3979237</v>
      </c>
      <c r="E47" s="54">
        <f aca="true" t="shared" si="12" ref="E47:L47">SUM(E48:E58)</f>
        <v>284844</v>
      </c>
      <c r="F47" s="54">
        <f t="shared" si="12"/>
        <v>19920</v>
      </c>
      <c r="G47" s="54">
        <f t="shared" si="12"/>
        <v>0</v>
      </c>
      <c r="H47" s="54">
        <f t="shared" si="12"/>
        <v>220447</v>
      </c>
      <c r="I47" s="54">
        <f t="shared" si="12"/>
        <v>0</v>
      </c>
      <c r="J47" s="54">
        <f t="shared" si="12"/>
        <v>39840</v>
      </c>
      <c r="K47" s="54">
        <f t="shared" si="12"/>
        <v>0</v>
      </c>
      <c r="L47" s="56">
        <f t="shared" si="12"/>
        <v>190642</v>
      </c>
    </row>
    <row r="48" spans="1:12" ht="25.5">
      <c r="A48" s="162" t="s">
        <v>148</v>
      </c>
      <c r="B48" s="140" t="s">
        <v>210</v>
      </c>
      <c r="C48" s="81">
        <f t="shared" si="10"/>
        <v>187578</v>
      </c>
      <c r="D48" s="30">
        <f>24189+70389</f>
        <v>94578</v>
      </c>
      <c r="E48" s="280">
        <f>90000+3000</f>
        <v>93000</v>
      </c>
      <c r="F48" s="32"/>
      <c r="G48" s="28"/>
      <c r="H48" s="30"/>
      <c r="I48" s="29"/>
      <c r="J48" s="32"/>
      <c r="K48" s="28"/>
      <c r="L48" s="55"/>
    </row>
    <row r="49" spans="1:12" ht="12.75" hidden="1">
      <c r="A49" s="162" t="s">
        <v>151</v>
      </c>
      <c r="B49" s="140" t="s">
        <v>137</v>
      </c>
      <c r="C49" s="81">
        <f t="shared" si="10"/>
        <v>0</v>
      </c>
      <c r="D49" s="30">
        <v>0</v>
      </c>
      <c r="E49" s="38"/>
      <c r="F49" s="32"/>
      <c r="G49" s="28"/>
      <c r="H49" s="32"/>
      <c r="I49" s="28"/>
      <c r="J49" s="32"/>
      <c r="K49" s="28"/>
      <c r="L49" s="55"/>
    </row>
    <row r="50" spans="1:12" ht="38.25" hidden="1">
      <c r="A50" s="162" t="s">
        <v>149</v>
      </c>
      <c r="B50" s="140" t="s">
        <v>178</v>
      </c>
      <c r="C50" s="81">
        <f>SUM(D50:L50)</f>
        <v>0</v>
      </c>
      <c r="D50" s="76">
        <v>0</v>
      </c>
      <c r="E50" s="38"/>
      <c r="F50" s="32"/>
      <c r="G50" s="38"/>
      <c r="H50" s="41"/>
      <c r="I50" s="38"/>
      <c r="J50" s="32"/>
      <c r="K50" s="28"/>
      <c r="L50" s="55"/>
    </row>
    <row r="51" spans="1:12" ht="38.25">
      <c r="A51" s="162" t="s">
        <v>150</v>
      </c>
      <c r="B51" s="140" t="s">
        <v>362</v>
      </c>
      <c r="C51" s="81">
        <f t="shared" si="10"/>
        <v>69720</v>
      </c>
      <c r="D51" s="107">
        <v>9960</v>
      </c>
      <c r="E51" s="38"/>
      <c r="F51" s="32">
        <v>19920</v>
      </c>
      <c r="G51" s="28"/>
      <c r="H51" s="32"/>
      <c r="I51" s="28"/>
      <c r="J51" s="30">
        <v>39840</v>
      </c>
      <c r="K51" s="38"/>
      <c r="L51" s="33"/>
    </row>
    <row r="52" spans="1:12" ht="25.5" hidden="1">
      <c r="A52" s="162" t="s">
        <v>188</v>
      </c>
      <c r="B52" s="140" t="s">
        <v>313</v>
      </c>
      <c r="C52" s="148">
        <f>SUM(D52:L52)</f>
        <v>0</v>
      </c>
      <c r="D52" s="107"/>
      <c r="E52" s="38"/>
      <c r="F52" s="32"/>
      <c r="G52" s="28"/>
      <c r="H52" s="32"/>
      <c r="I52" s="28"/>
      <c r="J52" s="30"/>
      <c r="K52" s="38"/>
      <c r="L52" s="33"/>
    </row>
    <row r="53" spans="1:12" ht="51">
      <c r="A53" s="162" t="s">
        <v>195</v>
      </c>
      <c r="B53" s="140" t="s">
        <v>333</v>
      </c>
      <c r="C53" s="81">
        <f t="shared" si="10"/>
        <v>86816</v>
      </c>
      <c r="D53" s="107"/>
      <c r="E53" s="38"/>
      <c r="F53" s="32"/>
      <c r="G53" s="28"/>
      <c r="H53" s="32">
        <v>86816</v>
      </c>
      <c r="I53" s="28"/>
      <c r="J53" s="30"/>
      <c r="K53" s="38"/>
      <c r="L53" s="33"/>
    </row>
    <row r="54" spans="1:12" ht="12.75" hidden="1">
      <c r="A54" s="162" t="s">
        <v>198</v>
      </c>
      <c r="B54" s="140" t="s">
        <v>259</v>
      </c>
      <c r="C54" s="81">
        <f t="shared" si="10"/>
        <v>0</v>
      </c>
      <c r="D54" s="107"/>
      <c r="E54" s="38"/>
      <c r="F54" s="32"/>
      <c r="G54" s="28"/>
      <c r="H54" s="32"/>
      <c r="I54" s="28"/>
      <c r="J54" s="30"/>
      <c r="K54" s="38"/>
      <c r="L54" s="33"/>
    </row>
    <row r="55" spans="1:12" ht="51" hidden="1">
      <c r="A55" s="162" t="s">
        <v>200</v>
      </c>
      <c r="B55" s="140" t="s">
        <v>211</v>
      </c>
      <c r="C55" s="81">
        <f>SUM(D55:L55)</f>
        <v>0</v>
      </c>
      <c r="D55" s="122">
        <v>0</v>
      </c>
      <c r="E55" s="38"/>
      <c r="F55" s="32"/>
      <c r="G55" s="28"/>
      <c r="H55" s="32"/>
      <c r="I55" s="28"/>
      <c r="J55" s="30"/>
      <c r="K55" s="38"/>
      <c r="L55" s="33">
        <v>0</v>
      </c>
    </row>
    <row r="56" spans="1:12" ht="38.25">
      <c r="A56" s="162" t="s">
        <v>212</v>
      </c>
      <c r="B56" s="140" t="s">
        <v>334</v>
      </c>
      <c r="C56" s="81">
        <f>SUM(D56:L56)</f>
        <v>2884485</v>
      </c>
      <c r="D56" s="107">
        <f>2227197+456584</f>
        <v>2683781</v>
      </c>
      <c r="E56" s="281">
        <v>191844</v>
      </c>
      <c r="F56" s="32"/>
      <c r="G56" s="28"/>
      <c r="H56" s="32"/>
      <c r="I56" s="28"/>
      <c r="J56" s="30"/>
      <c r="K56" s="38"/>
      <c r="L56" s="33">
        <v>8860</v>
      </c>
    </row>
    <row r="57" spans="1:12" ht="25.5" hidden="1">
      <c r="A57" s="200" t="s">
        <v>260</v>
      </c>
      <c r="B57" s="153" t="s">
        <v>261</v>
      </c>
      <c r="C57" s="201">
        <f>SUM(D57:L57)</f>
        <v>0</v>
      </c>
      <c r="D57" s="122"/>
      <c r="E57" s="38"/>
      <c r="F57" s="41"/>
      <c r="G57" s="38"/>
      <c r="H57" s="41"/>
      <c r="I57" s="38"/>
      <c r="J57" s="76"/>
      <c r="K57" s="38"/>
      <c r="L57" s="163"/>
    </row>
    <row r="58" spans="1:12" ht="38.25">
      <c r="A58" s="200" t="s">
        <v>327</v>
      </c>
      <c r="B58" s="153" t="s">
        <v>335</v>
      </c>
      <c r="C58" s="201">
        <f>SUM(D58:L58)</f>
        <v>1506331</v>
      </c>
      <c r="D58" s="122">
        <v>1190918</v>
      </c>
      <c r="E58" s="38"/>
      <c r="F58" s="41"/>
      <c r="G58" s="38"/>
      <c r="H58" s="41">
        <f>78312+55319</f>
        <v>133631</v>
      </c>
      <c r="I58" s="38"/>
      <c r="J58" s="76"/>
      <c r="K58" s="38"/>
      <c r="L58" s="163">
        <v>181782</v>
      </c>
    </row>
    <row r="59" spans="1:12" s="113" customFormat="1" ht="13.5">
      <c r="A59" s="166" t="s">
        <v>18</v>
      </c>
      <c r="B59" s="143" t="s">
        <v>8</v>
      </c>
      <c r="C59" s="144">
        <f t="shared" si="10"/>
        <v>2544663</v>
      </c>
      <c r="D59" s="144">
        <f aca="true" t="shared" si="13" ref="D59:L59">D60+D63+D64</f>
        <v>2077935</v>
      </c>
      <c r="E59" s="145">
        <f t="shared" si="13"/>
        <v>0</v>
      </c>
      <c r="F59" s="144">
        <f t="shared" si="13"/>
        <v>0</v>
      </c>
      <c r="G59" s="145">
        <f t="shared" si="13"/>
        <v>0</v>
      </c>
      <c r="H59" s="144">
        <f t="shared" si="13"/>
        <v>439481</v>
      </c>
      <c r="I59" s="145">
        <f t="shared" si="13"/>
        <v>1021</v>
      </c>
      <c r="J59" s="144">
        <f t="shared" si="13"/>
        <v>0</v>
      </c>
      <c r="K59" s="145">
        <f t="shared" si="13"/>
        <v>0</v>
      </c>
      <c r="L59" s="167">
        <f t="shared" si="13"/>
        <v>26226</v>
      </c>
    </row>
    <row r="60" spans="1:12" ht="12.75">
      <c r="A60" s="164" t="s">
        <v>32</v>
      </c>
      <c r="B60" s="146" t="s">
        <v>33</v>
      </c>
      <c r="C60" s="82">
        <f t="shared" si="10"/>
        <v>1090461</v>
      </c>
      <c r="D60" s="54">
        <f aca="true" t="shared" si="14" ref="D60:L60">D61+D62</f>
        <v>1090461</v>
      </c>
      <c r="E60" s="34">
        <f t="shared" si="14"/>
        <v>0</v>
      </c>
      <c r="F60" s="54">
        <f t="shared" si="14"/>
        <v>0</v>
      </c>
      <c r="G60" s="34">
        <f t="shared" si="14"/>
        <v>0</v>
      </c>
      <c r="H60" s="54">
        <f t="shared" si="14"/>
        <v>0</v>
      </c>
      <c r="I60" s="34">
        <f t="shared" si="14"/>
        <v>0</v>
      </c>
      <c r="J60" s="54">
        <f t="shared" si="14"/>
        <v>0</v>
      </c>
      <c r="K60" s="34">
        <f t="shared" si="14"/>
        <v>0</v>
      </c>
      <c r="L60" s="56">
        <f t="shared" si="14"/>
        <v>0</v>
      </c>
    </row>
    <row r="61" spans="1:12" ht="38.25">
      <c r="A61" s="162" t="s">
        <v>58</v>
      </c>
      <c r="B61" s="140" t="s">
        <v>336</v>
      </c>
      <c r="C61" s="81">
        <f t="shared" si="10"/>
        <v>836286</v>
      </c>
      <c r="D61" s="32">
        <f>924286-88000</f>
        <v>836286</v>
      </c>
      <c r="E61" s="38"/>
      <c r="F61" s="32"/>
      <c r="G61" s="28"/>
      <c r="H61" s="32"/>
      <c r="I61" s="28"/>
      <c r="J61" s="32"/>
      <c r="K61" s="28"/>
      <c r="L61" s="33"/>
    </row>
    <row r="62" spans="1:12" ht="25.5">
      <c r="A62" s="162" t="s">
        <v>167</v>
      </c>
      <c r="B62" s="140" t="s">
        <v>242</v>
      </c>
      <c r="C62" s="81">
        <f t="shared" si="10"/>
        <v>254175</v>
      </c>
      <c r="D62" s="32">
        <v>254175</v>
      </c>
      <c r="E62" s="38"/>
      <c r="F62" s="32"/>
      <c r="G62" s="28"/>
      <c r="H62" s="32"/>
      <c r="I62" s="28"/>
      <c r="J62" s="32"/>
      <c r="K62" s="28"/>
      <c r="L62" s="33"/>
    </row>
    <row r="63" spans="1:12" ht="12.75">
      <c r="A63" s="164" t="s">
        <v>34</v>
      </c>
      <c r="B63" s="146" t="s">
        <v>83</v>
      </c>
      <c r="C63" s="82">
        <f>SUM(D63:L63)</f>
        <v>444683</v>
      </c>
      <c r="D63" s="54">
        <f>392798+51885</f>
        <v>444683</v>
      </c>
      <c r="E63" s="70"/>
      <c r="F63" s="54"/>
      <c r="G63" s="34"/>
      <c r="H63" s="54"/>
      <c r="I63" s="70"/>
      <c r="J63" s="54"/>
      <c r="K63" s="34"/>
      <c r="L63" s="56"/>
    </row>
    <row r="64" spans="1:12" ht="25.5">
      <c r="A64" s="164" t="s">
        <v>262</v>
      </c>
      <c r="B64" s="146" t="s">
        <v>263</v>
      </c>
      <c r="C64" s="82">
        <f>SUM(D64:L64)</f>
        <v>1009519</v>
      </c>
      <c r="D64" s="54">
        <f>SUM(D65+D67+D66)</f>
        <v>542791</v>
      </c>
      <c r="E64" s="34">
        <f>E65+E66+E67</f>
        <v>0</v>
      </c>
      <c r="F64" s="54">
        <f>SUM(F65+F67+F66)</f>
        <v>0</v>
      </c>
      <c r="G64" s="34">
        <f>G65+G66+G67</f>
        <v>0</v>
      </c>
      <c r="H64" s="54">
        <f>SUM(H65+H67+H66)</f>
        <v>439481</v>
      </c>
      <c r="I64" s="34">
        <f>I65+I66+I67</f>
        <v>1021</v>
      </c>
      <c r="J64" s="54">
        <f>SUM(J65+J67+J66)</f>
        <v>0</v>
      </c>
      <c r="K64" s="34">
        <f>K65+K66+K67</f>
        <v>0</v>
      </c>
      <c r="L64" s="56">
        <f>SUM(L65+L67)</f>
        <v>26226</v>
      </c>
    </row>
    <row r="65" spans="1:12" ht="51">
      <c r="A65" s="162" t="s">
        <v>320</v>
      </c>
      <c r="B65" s="140" t="s">
        <v>264</v>
      </c>
      <c r="C65" s="82">
        <f>SUM(D65:L65)</f>
        <v>486488</v>
      </c>
      <c r="D65" s="54">
        <f>34939+79405</f>
        <v>114344</v>
      </c>
      <c r="E65" s="70"/>
      <c r="F65" s="54"/>
      <c r="G65" s="34"/>
      <c r="H65" s="54">
        <f>363099</f>
        <v>363099</v>
      </c>
      <c r="I65" s="70"/>
      <c r="J65" s="54"/>
      <c r="K65" s="34"/>
      <c r="L65" s="56">
        <v>9045</v>
      </c>
    </row>
    <row r="66" spans="1:12" ht="51">
      <c r="A66" s="162" t="s">
        <v>365</v>
      </c>
      <c r="B66" s="140" t="s">
        <v>366</v>
      </c>
      <c r="C66" s="82">
        <f>SUM(D66:L66)</f>
        <v>104205</v>
      </c>
      <c r="D66" s="54">
        <f>29605+600</f>
        <v>30205</v>
      </c>
      <c r="E66" s="70"/>
      <c r="F66" s="54"/>
      <c r="G66" s="34"/>
      <c r="H66" s="54">
        <f>74000</f>
        <v>74000</v>
      </c>
      <c r="I66" s="70"/>
      <c r="J66" s="54"/>
      <c r="K66" s="34"/>
      <c r="L66" s="56"/>
    </row>
    <row r="67" spans="1:12" ht="38.25">
      <c r="A67" s="162" t="s">
        <v>321</v>
      </c>
      <c r="B67" s="140" t="s">
        <v>322</v>
      </c>
      <c r="C67" s="82">
        <f>SUM(D67:L67)</f>
        <v>418826</v>
      </c>
      <c r="D67" s="54">
        <v>398242</v>
      </c>
      <c r="E67" s="70"/>
      <c r="F67" s="54"/>
      <c r="G67" s="34"/>
      <c r="H67" s="54">
        <v>2382</v>
      </c>
      <c r="I67" s="279">
        <v>1021</v>
      </c>
      <c r="J67" s="54"/>
      <c r="K67" s="34"/>
      <c r="L67" s="56">
        <v>17181</v>
      </c>
    </row>
    <row r="68" spans="1:12" s="113" customFormat="1" ht="13.5">
      <c r="A68" s="166" t="s">
        <v>19</v>
      </c>
      <c r="B68" s="143" t="s">
        <v>145</v>
      </c>
      <c r="C68" s="144">
        <f t="shared" si="10"/>
        <v>3076948</v>
      </c>
      <c r="D68" s="144">
        <f aca="true" t="shared" si="15" ref="D68:K68">D69+D70+D73</f>
        <v>2947427</v>
      </c>
      <c r="E68" s="145">
        <f t="shared" si="15"/>
        <v>-3000</v>
      </c>
      <c r="F68" s="144">
        <f t="shared" si="15"/>
        <v>130227</v>
      </c>
      <c r="G68" s="145">
        <f t="shared" si="15"/>
        <v>0</v>
      </c>
      <c r="H68" s="144">
        <f t="shared" si="15"/>
        <v>0</v>
      </c>
      <c r="I68" s="145">
        <f t="shared" si="15"/>
        <v>0</v>
      </c>
      <c r="J68" s="144">
        <f t="shared" si="15"/>
        <v>0</v>
      </c>
      <c r="K68" s="145">
        <f t="shared" si="15"/>
        <v>0</v>
      </c>
      <c r="L68" s="167">
        <f>SUM(L69:L73)</f>
        <v>2294</v>
      </c>
    </row>
    <row r="69" spans="1:12" ht="13.5">
      <c r="A69" s="171" t="s">
        <v>265</v>
      </c>
      <c r="B69" s="152" t="s">
        <v>314</v>
      </c>
      <c r="C69" s="82">
        <f>SUM(D69:L69)</f>
        <v>222346</v>
      </c>
      <c r="D69" s="54">
        <v>222346</v>
      </c>
      <c r="E69" s="34"/>
      <c r="F69" s="54"/>
      <c r="G69" s="34"/>
      <c r="H69" s="54"/>
      <c r="I69" s="34"/>
      <c r="J69" s="54"/>
      <c r="K69" s="34"/>
      <c r="L69" s="56"/>
    </row>
    <row r="70" spans="1:12" ht="13.5">
      <c r="A70" s="164" t="s">
        <v>35</v>
      </c>
      <c r="B70" s="152" t="s">
        <v>36</v>
      </c>
      <c r="C70" s="82">
        <f>SUM(D70:L70)</f>
        <v>561460</v>
      </c>
      <c r="D70" s="54">
        <f>D71+D72</f>
        <v>561460</v>
      </c>
      <c r="E70" s="54">
        <f aca="true" t="shared" si="16" ref="E70:L70">E71+E72</f>
        <v>0</v>
      </c>
      <c r="F70" s="54">
        <f t="shared" si="16"/>
        <v>0</v>
      </c>
      <c r="G70" s="54">
        <f t="shared" si="16"/>
        <v>0</v>
      </c>
      <c r="H70" s="54">
        <f t="shared" si="16"/>
        <v>0</v>
      </c>
      <c r="I70" s="54">
        <f t="shared" si="16"/>
        <v>0</v>
      </c>
      <c r="J70" s="54">
        <f t="shared" si="16"/>
        <v>0</v>
      </c>
      <c r="K70" s="54">
        <f t="shared" si="16"/>
        <v>0</v>
      </c>
      <c r="L70" s="56">
        <f t="shared" si="16"/>
        <v>0</v>
      </c>
    </row>
    <row r="71" spans="1:12" ht="12.75">
      <c r="A71" s="162" t="s">
        <v>323</v>
      </c>
      <c r="B71" s="150" t="s">
        <v>36</v>
      </c>
      <c r="C71" s="82">
        <f>SUM(D71:L71)</f>
        <v>561460</v>
      </c>
      <c r="D71" s="54">
        <f>482971+78489</f>
        <v>561460</v>
      </c>
      <c r="E71" s="70"/>
      <c r="F71" s="75"/>
      <c r="G71" s="70"/>
      <c r="H71" s="54"/>
      <c r="I71" s="34"/>
      <c r="J71" s="54"/>
      <c r="K71" s="34"/>
      <c r="L71" s="56"/>
    </row>
    <row r="72" spans="1:12" ht="51" hidden="1">
      <c r="A72" s="200" t="s">
        <v>324</v>
      </c>
      <c r="B72" s="211" t="s">
        <v>325</v>
      </c>
      <c r="C72" s="141">
        <f>SUM(D72:L72)</f>
        <v>0</v>
      </c>
      <c r="D72" s="75"/>
      <c r="E72" s="70"/>
      <c r="F72" s="75"/>
      <c r="G72" s="70"/>
      <c r="H72" s="75"/>
      <c r="I72" s="70"/>
      <c r="J72" s="75"/>
      <c r="K72" s="70"/>
      <c r="L72" s="170"/>
    </row>
    <row r="73" spans="1:12" ht="38.25">
      <c r="A73" s="164" t="s">
        <v>37</v>
      </c>
      <c r="B73" s="146" t="s">
        <v>84</v>
      </c>
      <c r="C73" s="82">
        <f aca="true" t="shared" si="17" ref="C73:C87">SUM(D73:L73)</f>
        <v>2293142</v>
      </c>
      <c r="D73" s="54">
        <f>SUM(D74:D78)</f>
        <v>2163621</v>
      </c>
      <c r="E73" s="75">
        <f aca="true" t="shared" si="18" ref="E73:L73">SUM(E74:E78)</f>
        <v>-3000</v>
      </c>
      <c r="F73" s="75">
        <f t="shared" si="18"/>
        <v>130227</v>
      </c>
      <c r="G73" s="75">
        <f t="shared" si="18"/>
        <v>0</v>
      </c>
      <c r="H73" s="54">
        <f t="shared" si="18"/>
        <v>0</v>
      </c>
      <c r="I73" s="54">
        <f t="shared" si="18"/>
        <v>0</v>
      </c>
      <c r="J73" s="54">
        <f t="shared" si="18"/>
        <v>0</v>
      </c>
      <c r="K73" s="54">
        <f t="shared" si="18"/>
        <v>0</v>
      </c>
      <c r="L73" s="56">
        <f t="shared" si="18"/>
        <v>2294</v>
      </c>
    </row>
    <row r="74" spans="1:12" ht="12.75">
      <c r="A74" s="168" t="s">
        <v>59</v>
      </c>
      <c r="B74" s="140" t="s">
        <v>266</v>
      </c>
      <c r="C74" s="107">
        <f t="shared" si="17"/>
        <v>888387</v>
      </c>
      <c r="D74" s="41">
        <f>737472-8006+26400</f>
        <v>755866</v>
      </c>
      <c r="E74" s="38"/>
      <c r="F74" s="41">
        <f>157227-27000</f>
        <v>130227</v>
      </c>
      <c r="G74" s="38"/>
      <c r="H74" s="77"/>
      <c r="I74" s="151"/>
      <c r="J74" s="32"/>
      <c r="K74" s="28"/>
      <c r="L74" s="33">
        <v>2294</v>
      </c>
    </row>
    <row r="75" spans="1:12" ht="38.25">
      <c r="A75" s="162" t="s">
        <v>60</v>
      </c>
      <c r="B75" s="140" t="s">
        <v>85</v>
      </c>
      <c r="C75" s="107">
        <f t="shared" si="17"/>
        <v>823826</v>
      </c>
      <c r="D75" s="41">
        <f>845044-21218</f>
        <v>823826</v>
      </c>
      <c r="E75" s="38"/>
      <c r="F75" s="41"/>
      <c r="G75" s="38"/>
      <c r="H75" s="32"/>
      <c r="I75" s="28"/>
      <c r="J75" s="32"/>
      <c r="K75" s="28"/>
      <c r="L75" s="33"/>
    </row>
    <row r="76" spans="1:12" ht="25.5">
      <c r="A76" s="162" t="s">
        <v>64</v>
      </c>
      <c r="B76" s="140" t="s">
        <v>122</v>
      </c>
      <c r="C76" s="107">
        <f t="shared" si="17"/>
        <v>288445</v>
      </c>
      <c r="D76" s="41">
        <v>288445</v>
      </c>
      <c r="E76" s="38"/>
      <c r="F76" s="78"/>
      <c r="G76" s="79"/>
      <c r="H76" s="78"/>
      <c r="I76" s="79"/>
      <c r="J76" s="78"/>
      <c r="K76" s="79"/>
      <c r="L76" s="55"/>
    </row>
    <row r="77" spans="1:12" ht="25.5">
      <c r="A77" s="162" t="s">
        <v>68</v>
      </c>
      <c r="B77" s="140" t="s">
        <v>123</v>
      </c>
      <c r="C77" s="107">
        <f t="shared" si="17"/>
        <v>213678</v>
      </c>
      <c r="D77" s="41">
        <f>216008+670</f>
        <v>216678</v>
      </c>
      <c r="E77" s="281">
        <v>-3000</v>
      </c>
      <c r="F77" s="32"/>
      <c r="G77" s="28"/>
      <c r="H77" s="32"/>
      <c r="I77" s="28"/>
      <c r="J77" s="32"/>
      <c r="K77" s="28"/>
      <c r="L77" s="33"/>
    </row>
    <row r="78" spans="1:12" ht="27.75" customHeight="1">
      <c r="A78" s="162" t="s">
        <v>267</v>
      </c>
      <c r="B78" s="140" t="s">
        <v>268</v>
      </c>
      <c r="C78" s="107">
        <f t="shared" si="17"/>
        <v>78806</v>
      </c>
      <c r="D78" s="41">
        <v>78806</v>
      </c>
      <c r="E78" s="38"/>
      <c r="F78" s="32"/>
      <c r="G78" s="28"/>
      <c r="H78" s="32"/>
      <c r="I78" s="28"/>
      <c r="J78" s="32"/>
      <c r="K78" s="28"/>
      <c r="L78" s="33"/>
    </row>
    <row r="79" spans="1:12" s="113" customFormat="1" ht="12.75">
      <c r="A79" s="172" t="s">
        <v>140</v>
      </c>
      <c r="B79" s="143" t="s">
        <v>141</v>
      </c>
      <c r="C79" s="144">
        <f t="shared" si="17"/>
        <v>133345</v>
      </c>
      <c r="D79" s="144">
        <f>SUM(D80:D84)</f>
        <v>133345</v>
      </c>
      <c r="E79" s="144">
        <f aca="true" t="shared" si="19" ref="E79:L79">SUM(E80:E84)</f>
        <v>0</v>
      </c>
      <c r="F79" s="144">
        <f t="shared" si="19"/>
        <v>0</v>
      </c>
      <c r="G79" s="144">
        <f t="shared" si="19"/>
        <v>0</v>
      </c>
      <c r="H79" s="144">
        <f t="shared" si="19"/>
        <v>0</v>
      </c>
      <c r="I79" s="144">
        <f t="shared" si="19"/>
        <v>0</v>
      </c>
      <c r="J79" s="144">
        <f t="shared" si="19"/>
        <v>0</v>
      </c>
      <c r="K79" s="144">
        <f t="shared" si="19"/>
        <v>0</v>
      </c>
      <c r="L79" s="167">
        <f t="shared" si="19"/>
        <v>0</v>
      </c>
    </row>
    <row r="80" spans="1:12" ht="12.75">
      <c r="A80" s="162" t="s">
        <v>152</v>
      </c>
      <c r="B80" s="140" t="s">
        <v>177</v>
      </c>
      <c r="C80" s="107">
        <f t="shared" si="17"/>
        <v>76130</v>
      </c>
      <c r="D80" s="32">
        <f>92060-15930</f>
        <v>76130</v>
      </c>
      <c r="E80" s="38"/>
      <c r="F80" s="32"/>
      <c r="G80" s="28"/>
      <c r="H80" s="32"/>
      <c r="I80" s="28"/>
      <c r="J80" s="32"/>
      <c r="K80" s="28"/>
      <c r="L80" s="33"/>
    </row>
    <row r="81" spans="1:12" ht="27" customHeight="1">
      <c r="A81" s="162" t="s">
        <v>153</v>
      </c>
      <c r="B81" s="140" t="s">
        <v>154</v>
      </c>
      <c r="C81" s="107">
        <f t="shared" si="17"/>
        <v>15652</v>
      </c>
      <c r="D81" s="32">
        <v>15652</v>
      </c>
      <c r="E81" s="28"/>
      <c r="F81" s="32"/>
      <c r="G81" s="28"/>
      <c r="H81" s="32"/>
      <c r="I81" s="28"/>
      <c r="J81" s="32"/>
      <c r="K81" s="28"/>
      <c r="L81" s="33"/>
    </row>
    <row r="82" spans="1:12" ht="12.75">
      <c r="A82" s="162" t="s">
        <v>155</v>
      </c>
      <c r="B82" s="140" t="s">
        <v>156</v>
      </c>
      <c r="C82" s="107">
        <f t="shared" si="17"/>
        <v>38418</v>
      </c>
      <c r="D82" s="32">
        <v>38418</v>
      </c>
      <c r="E82" s="28"/>
      <c r="F82" s="32"/>
      <c r="G82" s="28"/>
      <c r="H82" s="32"/>
      <c r="I82" s="28"/>
      <c r="J82" s="32"/>
      <c r="K82" s="28"/>
      <c r="L82" s="33"/>
    </row>
    <row r="83" spans="1:12" ht="12.75">
      <c r="A83" s="162" t="s">
        <v>144</v>
      </c>
      <c r="B83" s="140" t="s">
        <v>168</v>
      </c>
      <c r="C83" s="107">
        <f t="shared" si="17"/>
        <v>3145</v>
      </c>
      <c r="D83" s="32">
        <v>3145</v>
      </c>
      <c r="E83" s="28"/>
      <c r="F83" s="32"/>
      <c r="G83" s="28"/>
      <c r="H83" s="32"/>
      <c r="I83" s="28"/>
      <c r="J83" s="32"/>
      <c r="K83" s="28"/>
      <c r="L83" s="33"/>
    </row>
    <row r="84" spans="1:12" ht="25.5" hidden="1">
      <c r="A84" s="162" t="s">
        <v>269</v>
      </c>
      <c r="B84" s="140" t="s">
        <v>270</v>
      </c>
      <c r="C84" s="107">
        <f t="shared" si="17"/>
        <v>0</v>
      </c>
      <c r="D84" s="32"/>
      <c r="E84" s="28"/>
      <c r="F84" s="32"/>
      <c r="G84" s="28"/>
      <c r="H84" s="41"/>
      <c r="I84" s="28"/>
      <c r="J84" s="32"/>
      <c r="K84" s="28"/>
      <c r="L84" s="33"/>
    </row>
    <row r="85" spans="1:12" s="113" customFormat="1" ht="13.5">
      <c r="A85" s="166" t="s">
        <v>20</v>
      </c>
      <c r="B85" s="143" t="s">
        <v>9</v>
      </c>
      <c r="C85" s="144">
        <f t="shared" si="17"/>
        <v>5391234</v>
      </c>
      <c r="D85" s="144">
        <f aca="true" t="shared" si="20" ref="D85:L85">D86+D91+D106+D107</f>
        <v>4966112</v>
      </c>
      <c r="E85" s="145">
        <f t="shared" si="20"/>
        <v>-723</v>
      </c>
      <c r="F85" s="144">
        <f t="shared" si="20"/>
        <v>342065</v>
      </c>
      <c r="G85" s="145">
        <f t="shared" si="20"/>
        <v>3200</v>
      </c>
      <c r="H85" s="144">
        <f t="shared" si="20"/>
        <v>44333</v>
      </c>
      <c r="I85" s="145">
        <f t="shared" si="20"/>
        <v>0</v>
      </c>
      <c r="J85" s="144">
        <f t="shared" si="20"/>
        <v>18090</v>
      </c>
      <c r="K85" s="145">
        <f t="shared" si="20"/>
        <v>0</v>
      </c>
      <c r="L85" s="167">
        <f t="shared" si="20"/>
        <v>18157</v>
      </c>
    </row>
    <row r="86" spans="1:12" ht="12.75">
      <c r="A86" s="164" t="s">
        <v>40</v>
      </c>
      <c r="B86" s="146" t="s">
        <v>41</v>
      </c>
      <c r="C86" s="82">
        <f t="shared" si="17"/>
        <v>1047464</v>
      </c>
      <c r="D86" s="54">
        <f aca="true" t="shared" si="21" ref="D86:L86">D87+D88+D89+D90</f>
        <v>995036</v>
      </c>
      <c r="E86" s="34">
        <f t="shared" si="21"/>
        <v>0</v>
      </c>
      <c r="F86" s="54">
        <f t="shared" si="21"/>
        <v>34148</v>
      </c>
      <c r="G86" s="34">
        <f t="shared" si="21"/>
        <v>0</v>
      </c>
      <c r="H86" s="54">
        <f t="shared" si="21"/>
        <v>13520</v>
      </c>
      <c r="I86" s="34">
        <f t="shared" si="21"/>
        <v>0</v>
      </c>
      <c r="J86" s="54">
        <f t="shared" si="21"/>
        <v>0</v>
      </c>
      <c r="K86" s="34">
        <f t="shared" si="21"/>
        <v>0</v>
      </c>
      <c r="L86" s="54">
        <f t="shared" si="21"/>
        <v>4760</v>
      </c>
    </row>
    <row r="87" spans="1:12" ht="12.75">
      <c r="A87" s="162" t="s">
        <v>62</v>
      </c>
      <c r="B87" s="140" t="s">
        <v>315</v>
      </c>
      <c r="C87" s="107">
        <f t="shared" si="17"/>
        <v>500904</v>
      </c>
      <c r="D87" s="41">
        <f>448608+3388</f>
        <v>451996</v>
      </c>
      <c r="E87" s="38"/>
      <c r="F87" s="41">
        <v>34148</v>
      </c>
      <c r="G87" s="38"/>
      <c r="H87" s="32">
        <v>10000</v>
      </c>
      <c r="I87" s="28"/>
      <c r="J87" s="32"/>
      <c r="K87" s="28"/>
      <c r="L87" s="33">
        <v>4760</v>
      </c>
    </row>
    <row r="88" spans="1:12" ht="12.75">
      <c r="A88" s="162" t="s">
        <v>63</v>
      </c>
      <c r="B88" s="140" t="s">
        <v>124</v>
      </c>
      <c r="C88" s="81">
        <f>SUM(D88:L88)</f>
        <v>538060</v>
      </c>
      <c r="D88" s="41">
        <f>495118+4142+38800</f>
        <v>538060</v>
      </c>
      <c r="E88" s="38"/>
      <c r="F88" s="41"/>
      <c r="G88" s="38"/>
      <c r="H88" s="32"/>
      <c r="I88" s="28"/>
      <c r="J88" s="32"/>
      <c r="K88" s="28"/>
      <c r="L88" s="33"/>
    </row>
    <row r="89" spans="1:12" ht="25.5">
      <c r="A89" s="162" t="s">
        <v>169</v>
      </c>
      <c r="B89" s="140" t="s">
        <v>213</v>
      </c>
      <c r="C89" s="81">
        <f>SUM(D89:L89)</f>
        <v>4980</v>
      </c>
      <c r="D89" s="32">
        <v>4980</v>
      </c>
      <c r="E89" s="80"/>
      <c r="F89" s="80"/>
      <c r="G89" s="28"/>
      <c r="H89" s="81"/>
      <c r="I89" s="28"/>
      <c r="J89" s="32"/>
      <c r="K89" s="28"/>
      <c r="L89" s="33"/>
    </row>
    <row r="90" spans="1:12" ht="25.5">
      <c r="A90" s="162" t="s">
        <v>367</v>
      </c>
      <c r="B90" s="140" t="s">
        <v>368</v>
      </c>
      <c r="C90" s="81">
        <f>SUM(D90:L90)</f>
        <v>3520</v>
      </c>
      <c r="D90" s="32"/>
      <c r="E90" s="80"/>
      <c r="F90" s="80"/>
      <c r="G90" s="28"/>
      <c r="H90" s="81">
        <f>3520</f>
        <v>3520</v>
      </c>
      <c r="I90" s="28"/>
      <c r="J90" s="32"/>
      <c r="K90" s="28"/>
      <c r="L90" s="33"/>
    </row>
    <row r="91" spans="1:12" ht="12.75">
      <c r="A91" s="164" t="s">
        <v>42</v>
      </c>
      <c r="B91" s="146" t="s">
        <v>43</v>
      </c>
      <c r="C91" s="82">
        <f aca="true" t="shared" si="22" ref="C91:C102">SUM(D91:L91)</f>
        <v>3777452</v>
      </c>
      <c r="D91" s="54">
        <f aca="true" t="shared" si="23" ref="D91:L91">D92+D93+D95+D98+D102</f>
        <v>3419272</v>
      </c>
      <c r="E91" s="34">
        <f t="shared" si="23"/>
        <v>200</v>
      </c>
      <c r="F91" s="54">
        <f t="shared" si="23"/>
        <v>295823</v>
      </c>
      <c r="G91" s="34">
        <f t="shared" si="23"/>
        <v>0</v>
      </c>
      <c r="H91" s="54">
        <f t="shared" si="23"/>
        <v>30813</v>
      </c>
      <c r="I91" s="34">
        <f t="shared" si="23"/>
        <v>0</v>
      </c>
      <c r="J91" s="54">
        <f t="shared" si="23"/>
        <v>18090</v>
      </c>
      <c r="K91" s="34">
        <f t="shared" si="23"/>
        <v>0</v>
      </c>
      <c r="L91" s="56">
        <f t="shared" si="23"/>
        <v>13254</v>
      </c>
    </row>
    <row r="92" spans="1:12" ht="12.75">
      <c r="A92" s="162" t="s">
        <v>44</v>
      </c>
      <c r="B92" s="140" t="s">
        <v>337</v>
      </c>
      <c r="C92" s="82">
        <f t="shared" si="22"/>
        <v>683919</v>
      </c>
      <c r="D92" s="54">
        <v>657711</v>
      </c>
      <c r="E92" s="70"/>
      <c r="F92" s="54">
        <v>8118</v>
      </c>
      <c r="G92" s="70"/>
      <c r="H92" s="75"/>
      <c r="I92" s="34"/>
      <c r="J92" s="54">
        <v>18090</v>
      </c>
      <c r="K92" s="34"/>
      <c r="L92" s="56"/>
    </row>
    <row r="93" spans="1:12" ht="12.75">
      <c r="A93" s="164" t="s">
        <v>45</v>
      </c>
      <c r="B93" s="146" t="s">
        <v>271</v>
      </c>
      <c r="C93" s="82">
        <f t="shared" si="22"/>
        <v>391205</v>
      </c>
      <c r="D93" s="54">
        <f aca="true" t="shared" si="24" ref="D93:L93">SUM(D94:D94)</f>
        <v>373268</v>
      </c>
      <c r="E93" s="34">
        <f t="shared" si="24"/>
        <v>0</v>
      </c>
      <c r="F93" s="54">
        <f t="shared" si="24"/>
        <v>7399</v>
      </c>
      <c r="G93" s="34">
        <f t="shared" si="24"/>
        <v>0</v>
      </c>
      <c r="H93" s="54">
        <f t="shared" si="24"/>
        <v>1750</v>
      </c>
      <c r="I93" s="34">
        <f t="shared" si="24"/>
        <v>0</v>
      </c>
      <c r="J93" s="54">
        <f t="shared" si="24"/>
        <v>0</v>
      </c>
      <c r="K93" s="34">
        <f t="shared" si="24"/>
        <v>0</v>
      </c>
      <c r="L93" s="56">
        <f t="shared" si="24"/>
        <v>8788</v>
      </c>
    </row>
    <row r="94" spans="1:12" ht="25.5">
      <c r="A94" s="162" t="s">
        <v>87</v>
      </c>
      <c r="B94" s="140" t="s">
        <v>316</v>
      </c>
      <c r="C94" s="81">
        <f t="shared" si="22"/>
        <v>391205</v>
      </c>
      <c r="D94" s="32">
        <v>373268</v>
      </c>
      <c r="E94" s="222"/>
      <c r="F94" s="41">
        <v>7399</v>
      </c>
      <c r="G94" s="38"/>
      <c r="H94" s="41">
        <f>1150+600</f>
        <v>1750</v>
      </c>
      <c r="I94" s="38"/>
      <c r="J94" s="41"/>
      <c r="K94" s="28"/>
      <c r="L94" s="33">
        <v>8788</v>
      </c>
    </row>
    <row r="95" spans="1:12" ht="12.75">
      <c r="A95" s="164" t="s">
        <v>46</v>
      </c>
      <c r="B95" s="146" t="s">
        <v>214</v>
      </c>
      <c r="C95" s="82">
        <f t="shared" si="22"/>
        <v>1905686</v>
      </c>
      <c r="D95" s="75">
        <f>SUM(D96:D97)</f>
        <v>1615914</v>
      </c>
      <c r="E95" s="70">
        <f aca="true" t="shared" si="25" ref="E95:L95">SUM(E96:E97)</f>
        <v>200</v>
      </c>
      <c r="F95" s="75">
        <f t="shared" si="25"/>
        <v>280306</v>
      </c>
      <c r="G95" s="70">
        <f t="shared" si="25"/>
        <v>0</v>
      </c>
      <c r="H95" s="75">
        <f t="shared" si="25"/>
        <v>4800</v>
      </c>
      <c r="I95" s="70">
        <f t="shared" si="25"/>
        <v>0</v>
      </c>
      <c r="J95" s="75">
        <f t="shared" si="25"/>
        <v>0</v>
      </c>
      <c r="K95" s="70">
        <f t="shared" si="25"/>
        <v>0</v>
      </c>
      <c r="L95" s="170">
        <f t="shared" si="25"/>
        <v>4466</v>
      </c>
    </row>
    <row r="96" spans="1:12" ht="12.75">
      <c r="A96" s="162" t="s">
        <v>215</v>
      </c>
      <c r="B96" s="140" t="s">
        <v>272</v>
      </c>
      <c r="C96" s="107">
        <f>SUM(D96:L96)</f>
        <v>1431944</v>
      </c>
      <c r="D96" s="76">
        <f>1101488+200000</f>
        <v>1301488</v>
      </c>
      <c r="E96" s="280">
        <v>200</v>
      </c>
      <c r="F96" s="76">
        <v>123790</v>
      </c>
      <c r="G96" s="39"/>
      <c r="H96" s="76">
        <f>1000+1000</f>
        <v>2000</v>
      </c>
      <c r="I96" s="39"/>
      <c r="J96" s="76"/>
      <c r="K96" s="39"/>
      <c r="L96" s="173">
        <v>4466</v>
      </c>
    </row>
    <row r="97" spans="1:12" ht="12.75">
      <c r="A97" s="162" t="s">
        <v>216</v>
      </c>
      <c r="B97" s="140" t="s">
        <v>273</v>
      </c>
      <c r="C97" s="107">
        <f>SUM(D97:L97)</f>
        <v>473742</v>
      </c>
      <c r="D97" s="76">
        <v>314426</v>
      </c>
      <c r="E97" s="39"/>
      <c r="F97" s="76">
        <v>156516</v>
      </c>
      <c r="G97" s="39"/>
      <c r="H97" s="76">
        <f>1800+1000</f>
        <v>2800</v>
      </c>
      <c r="I97" s="39"/>
      <c r="J97" s="76"/>
      <c r="K97" s="39"/>
      <c r="L97" s="173"/>
    </row>
    <row r="98" spans="1:12" ht="12.75">
      <c r="A98" s="164" t="s">
        <v>47</v>
      </c>
      <c r="B98" s="146" t="s">
        <v>93</v>
      </c>
      <c r="C98" s="82">
        <f t="shared" si="22"/>
        <v>128166</v>
      </c>
      <c r="D98" s="75">
        <f>SUM(D99:D101)</f>
        <v>122343</v>
      </c>
      <c r="E98" s="70">
        <f aca="true" t="shared" si="26" ref="E98:L98">SUM(E99:E101)</f>
        <v>0</v>
      </c>
      <c r="F98" s="75">
        <f t="shared" si="26"/>
        <v>0</v>
      </c>
      <c r="G98" s="70">
        <f t="shared" si="26"/>
        <v>0</v>
      </c>
      <c r="H98" s="75">
        <f t="shared" si="26"/>
        <v>5823</v>
      </c>
      <c r="I98" s="70">
        <f t="shared" si="26"/>
        <v>0</v>
      </c>
      <c r="J98" s="75">
        <f t="shared" si="26"/>
        <v>0</v>
      </c>
      <c r="K98" s="70">
        <f t="shared" si="26"/>
        <v>0</v>
      </c>
      <c r="L98" s="170">
        <f t="shared" si="26"/>
        <v>0</v>
      </c>
    </row>
    <row r="99" spans="1:12" ht="12.75">
      <c r="A99" s="162" t="s">
        <v>217</v>
      </c>
      <c r="B99" s="140" t="s">
        <v>219</v>
      </c>
      <c r="C99" s="107">
        <f>SUM(D99:L99)</f>
        <v>63690</v>
      </c>
      <c r="D99" s="76">
        <v>59867</v>
      </c>
      <c r="E99" s="39"/>
      <c r="F99" s="76"/>
      <c r="G99" s="39"/>
      <c r="H99" s="76">
        <f>1200+2623</f>
        <v>3823</v>
      </c>
      <c r="I99" s="39"/>
      <c r="J99" s="76"/>
      <c r="K99" s="39"/>
      <c r="L99" s="173"/>
    </row>
    <row r="100" spans="1:12" ht="12.75">
      <c r="A100" s="162" t="s">
        <v>274</v>
      </c>
      <c r="B100" s="140" t="s">
        <v>275</v>
      </c>
      <c r="C100" s="107">
        <f>SUM(D100:L100)</f>
        <v>46100</v>
      </c>
      <c r="D100" s="76">
        <v>44100</v>
      </c>
      <c r="E100" s="39"/>
      <c r="F100" s="76"/>
      <c r="G100" s="39"/>
      <c r="H100" s="76">
        <v>2000</v>
      </c>
      <c r="I100" s="39"/>
      <c r="J100" s="76"/>
      <c r="K100" s="39"/>
      <c r="L100" s="173"/>
    </row>
    <row r="101" spans="1:12" ht="25.5">
      <c r="A101" s="162" t="s">
        <v>218</v>
      </c>
      <c r="B101" s="140" t="s">
        <v>220</v>
      </c>
      <c r="C101" s="107">
        <f>SUM(D101:L101)</f>
        <v>18376</v>
      </c>
      <c r="D101" s="76">
        <v>18376</v>
      </c>
      <c r="E101" s="39"/>
      <c r="F101" s="76"/>
      <c r="G101" s="39"/>
      <c r="H101" s="76"/>
      <c r="I101" s="39"/>
      <c r="J101" s="76"/>
      <c r="K101" s="39"/>
      <c r="L101" s="173"/>
    </row>
    <row r="102" spans="1:12" ht="12.75">
      <c r="A102" s="164" t="s">
        <v>48</v>
      </c>
      <c r="B102" s="146" t="s">
        <v>129</v>
      </c>
      <c r="C102" s="82">
        <f t="shared" si="22"/>
        <v>668476</v>
      </c>
      <c r="D102" s="54">
        <f>D103+D104+D105</f>
        <v>650036</v>
      </c>
      <c r="E102" s="34">
        <f>SUM(E103:E105)</f>
        <v>0</v>
      </c>
      <c r="F102" s="54">
        <f>SUM(F103:F105)</f>
        <v>0</v>
      </c>
      <c r="G102" s="34">
        <f>SUM(G103:G105)</f>
        <v>0</v>
      </c>
      <c r="H102" s="54">
        <f>SUM(H103:H105)</f>
        <v>18440</v>
      </c>
      <c r="I102" s="34">
        <f>I103+I104+I105</f>
        <v>0</v>
      </c>
      <c r="J102" s="54">
        <f>J103+J104+J105</f>
        <v>0</v>
      </c>
      <c r="K102" s="34">
        <f>K103+K104+K105</f>
        <v>0</v>
      </c>
      <c r="L102" s="56">
        <f>L103+L104+L105</f>
        <v>0</v>
      </c>
    </row>
    <row r="103" spans="1:12" ht="12.75">
      <c r="A103" s="162" t="s">
        <v>70</v>
      </c>
      <c r="B103" s="140" t="s">
        <v>125</v>
      </c>
      <c r="C103" s="107">
        <f>SUM(D103:L103)</f>
        <v>323774</v>
      </c>
      <c r="D103" s="32">
        <v>305334</v>
      </c>
      <c r="E103" s="28"/>
      <c r="F103" s="32"/>
      <c r="G103" s="28"/>
      <c r="H103" s="32">
        <v>18440</v>
      </c>
      <c r="I103" s="28"/>
      <c r="J103" s="32"/>
      <c r="K103" s="28"/>
      <c r="L103" s="33"/>
    </row>
    <row r="104" spans="1:12" ht="12.75">
      <c r="A104" s="162" t="s">
        <v>71</v>
      </c>
      <c r="B104" s="140" t="s">
        <v>126</v>
      </c>
      <c r="C104" s="107">
        <f>SUM(D104:L104)</f>
        <v>344702</v>
      </c>
      <c r="D104" s="32">
        <f>268502+200+76000</f>
        <v>344702</v>
      </c>
      <c r="E104" s="38"/>
      <c r="F104" s="32"/>
      <c r="G104" s="28"/>
      <c r="H104" s="32"/>
      <c r="I104" s="28"/>
      <c r="J104" s="32"/>
      <c r="K104" s="28"/>
      <c r="L104" s="33"/>
    </row>
    <row r="105" spans="1:12" ht="51" hidden="1">
      <c r="A105" s="162" t="s">
        <v>196</v>
      </c>
      <c r="B105" s="140" t="s">
        <v>197</v>
      </c>
      <c r="C105" s="107">
        <f>SUM(D105:L105)</f>
        <v>0</v>
      </c>
      <c r="D105" s="32"/>
      <c r="E105" s="38"/>
      <c r="F105" s="32"/>
      <c r="G105" s="28"/>
      <c r="H105" s="32"/>
      <c r="I105" s="28"/>
      <c r="J105" s="32"/>
      <c r="K105" s="28"/>
      <c r="L105" s="33"/>
    </row>
    <row r="106" spans="1:12" ht="13.5">
      <c r="A106" s="164" t="s">
        <v>69</v>
      </c>
      <c r="B106" s="152" t="s">
        <v>317</v>
      </c>
      <c r="C106" s="82">
        <f>SUM(D106:L106)</f>
        <v>349661</v>
      </c>
      <c r="D106" s="54">
        <v>334224</v>
      </c>
      <c r="E106" s="34"/>
      <c r="F106" s="54">
        <v>12094</v>
      </c>
      <c r="G106" s="279">
        <v>3200</v>
      </c>
      <c r="H106" s="54"/>
      <c r="I106" s="34"/>
      <c r="J106" s="54"/>
      <c r="K106" s="34"/>
      <c r="L106" s="56">
        <v>143</v>
      </c>
    </row>
    <row r="107" spans="1:12" ht="25.5">
      <c r="A107" s="164" t="s">
        <v>49</v>
      </c>
      <c r="B107" s="142" t="s">
        <v>182</v>
      </c>
      <c r="C107" s="82">
        <f aca="true" t="shared" si="27" ref="C107:L107">SUM(C108:C111)</f>
        <v>216657</v>
      </c>
      <c r="D107" s="82">
        <f t="shared" si="27"/>
        <v>217580</v>
      </c>
      <c r="E107" s="83">
        <f t="shared" si="27"/>
        <v>-923</v>
      </c>
      <c r="F107" s="82">
        <f t="shared" si="27"/>
        <v>0</v>
      </c>
      <c r="G107" s="83">
        <f t="shared" si="27"/>
        <v>0</v>
      </c>
      <c r="H107" s="82">
        <f t="shared" si="27"/>
        <v>0</v>
      </c>
      <c r="I107" s="83">
        <f t="shared" si="27"/>
        <v>0</v>
      </c>
      <c r="J107" s="82">
        <f t="shared" si="27"/>
        <v>0</v>
      </c>
      <c r="K107" s="83">
        <f t="shared" si="27"/>
        <v>0</v>
      </c>
      <c r="L107" s="174">
        <f t="shared" si="27"/>
        <v>0</v>
      </c>
    </row>
    <row r="108" spans="1:12" ht="12.75">
      <c r="A108" s="162" t="s">
        <v>183</v>
      </c>
      <c r="B108" s="140" t="s">
        <v>221</v>
      </c>
      <c r="C108" s="107">
        <f aca="true" t="shared" si="28" ref="C108:C118">SUM(D108:L108)</f>
        <v>42686</v>
      </c>
      <c r="D108" s="41">
        <v>42686</v>
      </c>
      <c r="E108" s="39"/>
      <c r="F108" s="32"/>
      <c r="G108" s="28"/>
      <c r="H108" s="32"/>
      <c r="I108" s="38"/>
      <c r="J108" s="32"/>
      <c r="K108" s="28"/>
      <c r="L108" s="33"/>
    </row>
    <row r="109" spans="1:12" ht="12.75">
      <c r="A109" s="162" t="s">
        <v>193</v>
      </c>
      <c r="B109" s="140" t="s">
        <v>194</v>
      </c>
      <c r="C109" s="107">
        <f t="shared" si="28"/>
        <v>11668</v>
      </c>
      <c r="D109" s="41">
        <v>11668</v>
      </c>
      <c r="E109" s="39"/>
      <c r="F109" s="32"/>
      <c r="G109" s="28"/>
      <c r="H109" s="32"/>
      <c r="I109" s="38"/>
      <c r="J109" s="32"/>
      <c r="K109" s="28"/>
      <c r="L109" s="33"/>
    </row>
    <row r="110" spans="1:12" ht="25.5">
      <c r="A110" s="162" t="s">
        <v>191</v>
      </c>
      <c r="B110" s="140" t="s">
        <v>192</v>
      </c>
      <c r="C110" s="107">
        <f t="shared" si="28"/>
        <v>4269</v>
      </c>
      <c r="D110" s="41">
        <v>4269</v>
      </c>
      <c r="E110" s="39"/>
      <c r="F110" s="32"/>
      <c r="G110" s="28"/>
      <c r="H110" s="32"/>
      <c r="I110" s="38"/>
      <c r="J110" s="32"/>
      <c r="K110" s="28"/>
      <c r="L110" s="33"/>
    </row>
    <row r="111" spans="1:12" ht="25.5">
      <c r="A111" s="162" t="s">
        <v>190</v>
      </c>
      <c r="B111" s="140" t="s">
        <v>338</v>
      </c>
      <c r="C111" s="107">
        <f t="shared" si="28"/>
        <v>158034</v>
      </c>
      <c r="D111" s="41">
        <f>142498+5570+9096+1793</f>
        <v>158957</v>
      </c>
      <c r="E111" s="280">
        <f>500-1423</f>
        <v>-923</v>
      </c>
      <c r="F111" s="32"/>
      <c r="G111" s="28"/>
      <c r="H111" s="32"/>
      <c r="I111" s="39"/>
      <c r="J111" s="32"/>
      <c r="K111" s="28"/>
      <c r="L111" s="33"/>
    </row>
    <row r="112" spans="1:12" s="113" customFormat="1" ht="13.5">
      <c r="A112" s="166" t="s">
        <v>21</v>
      </c>
      <c r="B112" s="143" t="s">
        <v>10</v>
      </c>
      <c r="C112" s="144">
        <f t="shared" si="28"/>
        <v>29516333</v>
      </c>
      <c r="D112" s="144">
        <f aca="true" t="shared" si="29" ref="D112:L112">D113+D122+D135+D140+D143+D146</f>
        <v>17824267</v>
      </c>
      <c r="E112" s="145">
        <f t="shared" si="29"/>
        <v>1100</v>
      </c>
      <c r="F112" s="144">
        <f t="shared" si="29"/>
        <v>512986</v>
      </c>
      <c r="G112" s="145">
        <f t="shared" si="29"/>
        <v>0</v>
      </c>
      <c r="H112" s="144">
        <f t="shared" si="29"/>
        <v>10164633</v>
      </c>
      <c r="I112" s="145">
        <f t="shared" si="29"/>
        <v>107242</v>
      </c>
      <c r="J112" s="144">
        <f t="shared" si="29"/>
        <v>7826</v>
      </c>
      <c r="K112" s="145">
        <f t="shared" si="29"/>
        <v>0</v>
      </c>
      <c r="L112" s="167">
        <f t="shared" si="29"/>
        <v>898279</v>
      </c>
    </row>
    <row r="113" spans="1:12" ht="12.75">
      <c r="A113" s="164" t="s">
        <v>90</v>
      </c>
      <c r="B113" s="142" t="s">
        <v>222</v>
      </c>
      <c r="C113" s="82">
        <f t="shared" si="28"/>
        <v>9758654</v>
      </c>
      <c r="D113" s="54">
        <f>SUM(D114:D121)</f>
        <v>8695691</v>
      </c>
      <c r="E113" s="54">
        <f aca="true" t="shared" si="30" ref="E113:K113">SUM(E114:E121)</f>
        <v>0</v>
      </c>
      <c r="F113" s="54">
        <f t="shared" si="30"/>
        <v>29282</v>
      </c>
      <c r="G113" s="54">
        <f t="shared" si="30"/>
        <v>0</v>
      </c>
      <c r="H113" s="54">
        <f t="shared" si="30"/>
        <v>731893</v>
      </c>
      <c r="I113" s="54">
        <f t="shared" si="30"/>
        <v>0</v>
      </c>
      <c r="J113" s="54">
        <f t="shared" si="30"/>
        <v>0</v>
      </c>
      <c r="K113" s="54">
        <f t="shared" si="30"/>
        <v>0</v>
      </c>
      <c r="L113" s="56">
        <f>SUM(L114:L119)</f>
        <v>301788</v>
      </c>
    </row>
    <row r="114" spans="1:12" ht="12.75">
      <c r="A114" s="162" t="s">
        <v>157</v>
      </c>
      <c r="B114" s="140" t="s">
        <v>243</v>
      </c>
      <c r="C114" s="107">
        <f t="shared" si="28"/>
        <v>4770892</v>
      </c>
      <c r="D114" s="32">
        <f>3903359-4219</f>
        <v>3899140</v>
      </c>
      <c r="E114" s="281">
        <v>49865</v>
      </c>
      <c r="F114" s="41">
        <v>29282</v>
      </c>
      <c r="G114" s="38"/>
      <c r="H114" s="41">
        <f>460717+25360+245816</f>
        <v>731893</v>
      </c>
      <c r="I114" s="38"/>
      <c r="J114" s="32"/>
      <c r="K114" s="28"/>
      <c r="L114" s="33">
        <v>60712</v>
      </c>
    </row>
    <row r="115" spans="1:12" ht="25.5">
      <c r="A115" s="162" t="s">
        <v>276</v>
      </c>
      <c r="B115" s="140" t="s">
        <v>277</v>
      </c>
      <c r="C115" s="107">
        <f t="shared" si="28"/>
        <v>62749</v>
      </c>
      <c r="D115" s="32">
        <v>62749</v>
      </c>
      <c r="E115" s="38"/>
      <c r="F115" s="32"/>
      <c r="G115" s="38"/>
      <c r="H115" s="32"/>
      <c r="I115" s="38"/>
      <c r="J115" s="32"/>
      <c r="K115" s="28"/>
      <c r="L115" s="33"/>
    </row>
    <row r="116" spans="1:12" ht="25.5">
      <c r="A116" s="162" t="s">
        <v>339</v>
      </c>
      <c r="B116" s="140" t="s">
        <v>340</v>
      </c>
      <c r="C116" s="107">
        <f>SUM(D116:L116)</f>
        <v>74016</v>
      </c>
      <c r="D116" s="32">
        <v>123881</v>
      </c>
      <c r="E116" s="281">
        <v>-49865</v>
      </c>
      <c r="F116" s="32"/>
      <c r="G116" s="38"/>
      <c r="H116" s="32"/>
      <c r="I116" s="38"/>
      <c r="J116" s="32"/>
      <c r="K116" s="28"/>
      <c r="L116" s="33"/>
    </row>
    <row r="117" spans="1:12" ht="38.25" hidden="1">
      <c r="A117" s="162" t="s">
        <v>318</v>
      </c>
      <c r="B117" s="140" t="s">
        <v>319</v>
      </c>
      <c r="C117" s="107">
        <f t="shared" si="28"/>
        <v>0</v>
      </c>
      <c r="D117" s="32"/>
      <c r="E117" s="38"/>
      <c r="F117" s="32"/>
      <c r="G117" s="38"/>
      <c r="H117" s="32"/>
      <c r="I117" s="38"/>
      <c r="J117" s="32"/>
      <c r="K117" s="28"/>
      <c r="L117" s="33"/>
    </row>
    <row r="118" spans="1:12" ht="25.5" hidden="1">
      <c r="A118" s="162" t="s">
        <v>304</v>
      </c>
      <c r="B118" s="140" t="s">
        <v>305</v>
      </c>
      <c r="C118" s="107">
        <f t="shared" si="28"/>
        <v>0</v>
      </c>
      <c r="D118" s="32"/>
      <c r="E118" s="38"/>
      <c r="F118" s="32"/>
      <c r="G118" s="38"/>
      <c r="H118" s="32"/>
      <c r="I118" s="38"/>
      <c r="J118" s="32"/>
      <c r="K118" s="28"/>
      <c r="L118" s="33"/>
    </row>
    <row r="119" spans="1:12" ht="25.5">
      <c r="A119" s="162" t="s">
        <v>326</v>
      </c>
      <c r="B119" s="140" t="s">
        <v>373</v>
      </c>
      <c r="C119" s="107">
        <f>SUM(D119:L119)</f>
        <v>3341510</v>
      </c>
      <c r="D119" s="32">
        <f>3045371+55063</f>
        <v>3100434</v>
      </c>
      <c r="E119" s="38"/>
      <c r="F119" s="32"/>
      <c r="G119" s="38"/>
      <c r="H119" s="32"/>
      <c r="I119" s="38"/>
      <c r="J119" s="32"/>
      <c r="K119" s="28"/>
      <c r="L119" s="33">
        <v>241076</v>
      </c>
    </row>
    <row r="120" spans="1:12" ht="25.5">
      <c r="A120" s="162" t="s">
        <v>369</v>
      </c>
      <c r="B120" s="140" t="s">
        <v>370</v>
      </c>
      <c r="C120" s="107">
        <f>SUM(D120:L120)</f>
        <v>561890</v>
      </c>
      <c r="D120" s="32">
        <f>561890</f>
        <v>561890</v>
      </c>
      <c r="E120" s="38"/>
      <c r="F120" s="32"/>
      <c r="G120" s="38"/>
      <c r="H120" s="32"/>
      <c r="I120" s="38"/>
      <c r="J120" s="32"/>
      <c r="K120" s="28"/>
      <c r="L120" s="33"/>
    </row>
    <row r="121" spans="1:12" ht="25.5">
      <c r="A121" s="162" t="s">
        <v>371</v>
      </c>
      <c r="B121" s="140" t="s">
        <v>372</v>
      </c>
      <c r="C121" s="107">
        <f>SUM(D121:L121)</f>
        <v>947597</v>
      </c>
      <c r="D121" s="32">
        <f>947597</f>
        <v>947597</v>
      </c>
      <c r="E121" s="38"/>
      <c r="F121" s="32"/>
      <c r="G121" s="38"/>
      <c r="H121" s="32"/>
      <c r="I121" s="38"/>
      <c r="J121" s="32"/>
      <c r="K121" s="28"/>
      <c r="L121" s="33"/>
    </row>
    <row r="122" spans="1:12" ht="25.5">
      <c r="A122" s="175" t="s">
        <v>94</v>
      </c>
      <c r="B122" s="142" t="s">
        <v>95</v>
      </c>
      <c r="C122" s="82">
        <f>D122+E122+F122+G122+H122+I122+J122+K122+L122</f>
        <v>15304949</v>
      </c>
      <c r="D122" s="54">
        <f aca="true" t="shared" si="31" ref="D122:L122">D123+D130</f>
        <v>5964479</v>
      </c>
      <c r="E122" s="34">
        <f t="shared" si="31"/>
        <v>600</v>
      </c>
      <c r="F122" s="54">
        <f t="shared" si="31"/>
        <v>161314</v>
      </c>
      <c r="G122" s="34">
        <f t="shared" si="31"/>
        <v>0</v>
      </c>
      <c r="H122" s="54">
        <f t="shared" si="31"/>
        <v>8640349</v>
      </c>
      <c r="I122" s="34">
        <f t="shared" si="31"/>
        <v>107242</v>
      </c>
      <c r="J122" s="54">
        <f t="shared" si="31"/>
        <v>7826</v>
      </c>
      <c r="K122" s="34">
        <f t="shared" si="31"/>
        <v>0</v>
      </c>
      <c r="L122" s="56">
        <f t="shared" si="31"/>
        <v>423139</v>
      </c>
    </row>
    <row r="123" spans="1:12" ht="12.75">
      <c r="A123" s="176" t="s">
        <v>278</v>
      </c>
      <c r="B123" s="128" t="s">
        <v>279</v>
      </c>
      <c r="C123" s="82">
        <f>D123+E123+F123+G123+H123+I123+J123+K123+L123</f>
        <v>13969688</v>
      </c>
      <c r="D123" s="54">
        <f>SUM(D124:D129)</f>
        <v>5501480</v>
      </c>
      <c r="E123" s="34">
        <f aca="true" t="shared" si="32" ref="E123:L123">SUM(E124:E129)</f>
        <v>600</v>
      </c>
      <c r="F123" s="54">
        <f t="shared" si="32"/>
        <v>148081</v>
      </c>
      <c r="G123" s="34">
        <f t="shared" si="32"/>
        <v>0</v>
      </c>
      <c r="H123" s="54">
        <f t="shared" si="32"/>
        <v>7945146</v>
      </c>
      <c r="I123" s="34">
        <f t="shared" si="32"/>
        <v>0</v>
      </c>
      <c r="J123" s="54">
        <f t="shared" si="32"/>
        <v>0</v>
      </c>
      <c r="K123" s="34">
        <f t="shared" si="32"/>
        <v>0</v>
      </c>
      <c r="L123" s="54">
        <f t="shared" si="32"/>
        <v>374381</v>
      </c>
    </row>
    <row r="124" spans="1:12" ht="25.5">
      <c r="A124" s="221" t="s">
        <v>375</v>
      </c>
      <c r="B124" s="140" t="s">
        <v>377</v>
      </c>
      <c r="C124" s="107">
        <f>SUM(D124:L124)</f>
        <v>11006</v>
      </c>
      <c r="D124" s="30">
        <v>5506</v>
      </c>
      <c r="E124" s="76"/>
      <c r="F124" s="76"/>
      <c r="G124" s="76"/>
      <c r="H124" s="76">
        <v>5500</v>
      </c>
      <c r="I124" s="76"/>
      <c r="J124" s="30"/>
      <c r="K124" s="30"/>
      <c r="L124" s="55"/>
    </row>
    <row r="125" spans="1:12" ht="38.25">
      <c r="A125" s="221" t="s">
        <v>500</v>
      </c>
      <c r="B125" s="140" t="s">
        <v>501</v>
      </c>
      <c r="C125" s="107">
        <f>SUM(D125:L125)</f>
        <v>249318</v>
      </c>
      <c r="D125" s="32">
        <v>219400</v>
      </c>
      <c r="E125" s="38"/>
      <c r="F125" s="41"/>
      <c r="G125" s="38"/>
      <c r="H125" s="41">
        <v>29918</v>
      </c>
      <c r="I125" s="38"/>
      <c r="J125" s="32"/>
      <c r="K125" s="28"/>
      <c r="L125" s="33"/>
    </row>
    <row r="126" spans="1:12" ht="25.5">
      <c r="A126" s="221" t="s">
        <v>376</v>
      </c>
      <c r="B126" s="140" t="s">
        <v>374</v>
      </c>
      <c r="C126" s="107">
        <f>SUM(D126:L126)</f>
        <v>460925</v>
      </c>
      <c r="D126" s="32">
        <v>460925</v>
      </c>
      <c r="E126" s="38"/>
      <c r="F126" s="41"/>
      <c r="G126" s="38"/>
      <c r="H126" s="41"/>
      <c r="I126" s="38"/>
      <c r="J126" s="32"/>
      <c r="K126" s="28"/>
      <c r="L126" s="33"/>
    </row>
    <row r="127" spans="1:12" ht="12.75">
      <c r="A127" s="162" t="s">
        <v>225</v>
      </c>
      <c r="B127" s="140" t="s">
        <v>223</v>
      </c>
      <c r="C127" s="81">
        <f aca="true" t="shared" si="33" ref="C127:C152">SUM(D127:L127)</f>
        <v>11171972</v>
      </c>
      <c r="D127" s="41">
        <f>4661948-1287-29052-8513</f>
        <v>4623096</v>
      </c>
      <c r="E127" s="281">
        <v>600</v>
      </c>
      <c r="F127" s="41">
        <v>125894</v>
      </c>
      <c r="G127" s="38"/>
      <c r="H127" s="76">
        <f>4058270+120179+1500+1423+2023468-1450</f>
        <v>6203390</v>
      </c>
      <c r="I127" s="38"/>
      <c r="J127" s="32"/>
      <c r="K127" s="28"/>
      <c r="L127" s="33">
        <f>218992</f>
        <v>218992</v>
      </c>
    </row>
    <row r="128" spans="1:12" ht="25.5">
      <c r="A128" s="162" t="s">
        <v>226</v>
      </c>
      <c r="B128" s="153" t="s">
        <v>341</v>
      </c>
      <c r="C128" s="81">
        <f t="shared" si="33"/>
        <v>2000302</v>
      </c>
      <c r="D128" s="41">
        <f>154988+29052+8513</f>
        <v>192553</v>
      </c>
      <c r="E128" s="38"/>
      <c r="F128" s="41">
        <v>7669</v>
      </c>
      <c r="G128" s="38"/>
      <c r="H128" s="41">
        <f>1081667+610621+1450</f>
        <v>1693738</v>
      </c>
      <c r="I128" s="38"/>
      <c r="J128" s="108"/>
      <c r="K128" s="28"/>
      <c r="L128" s="33">
        <f>106342</f>
        <v>106342</v>
      </c>
    </row>
    <row r="129" spans="1:12" ht="25.5">
      <c r="A129" s="162" t="s">
        <v>280</v>
      </c>
      <c r="B129" s="153" t="s">
        <v>342</v>
      </c>
      <c r="C129" s="81">
        <f t="shared" si="33"/>
        <v>76165</v>
      </c>
      <c r="D129" s="32"/>
      <c r="E129" s="38"/>
      <c r="F129" s="41">
        <f>6498+8020</f>
        <v>14518</v>
      </c>
      <c r="G129" s="38"/>
      <c r="H129" s="32">
        <f>12600</f>
        <v>12600</v>
      </c>
      <c r="I129" s="38"/>
      <c r="J129" s="108"/>
      <c r="K129" s="28"/>
      <c r="L129" s="33">
        <v>49047</v>
      </c>
    </row>
    <row r="130" spans="1:12" ht="12.75">
      <c r="A130" s="176" t="s">
        <v>282</v>
      </c>
      <c r="B130" s="128" t="s">
        <v>281</v>
      </c>
      <c r="C130" s="82">
        <f>SUM(D130:L130)</f>
        <v>1335261</v>
      </c>
      <c r="D130" s="82">
        <f>SUM(D131:D134)</f>
        <v>462999</v>
      </c>
      <c r="E130" s="83">
        <f aca="true" t="shared" si="34" ref="E130:L130">SUM(E131:E134)</f>
        <v>0</v>
      </c>
      <c r="F130" s="82">
        <f t="shared" si="34"/>
        <v>13233</v>
      </c>
      <c r="G130" s="83">
        <f t="shared" si="34"/>
        <v>0</v>
      </c>
      <c r="H130" s="82">
        <f t="shared" si="34"/>
        <v>695203</v>
      </c>
      <c r="I130" s="83">
        <f t="shared" si="34"/>
        <v>107242</v>
      </c>
      <c r="J130" s="82">
        <f t="shared" si="34"/>
        <v>7826</v>
      </c>
      <c r="K130" s="83">
        <f t="shared" si="34"/>
        <v>0</v>
      </c>
      <c r="L130" s="174">
        <f t="shared" si="34"/>
        <v>48758</v>
      </c>
    </row>
    <row r="131" spans="1:12" ht="12.75">
      <c r="A131" s="162" t="s">
        <v>224</v>
      </c>
      <c r="B131" s="154" t="s">
        <v>343</v>
      </c>
      <c r="C131" s="81">
        <f t="shared" si="33"/>
        <v>926374</v>
      </c>
      <c r="D131" s="41">
        <v>462999</v>
      </c>
      <c r="E131" s="38"/>
      <c r="F131" s="41">
        <v>13233</v>
      </c>
      <c r="G131" s="39"/>
      <c r="H131" s="41">
        <f>292908+138564</f>
        <v>431472</v>
      </c>
      <c r="I131" s="39"/>
      <c r="J131" s="155">
        <v>7826</v>
      </c>
      <c r="K131" s="39"/>
      <c r="L131" s="33">
        <v>10844</v>
      </c>
    </row>
    <row r="132" spans="1:12" ht="25.5">
      <c r="A132" s="162" t="s">
        <v>227</v>
      </c>
      <c r="B132" s="140" t="s">
        <v>344</v>
      </c>
      <c r="C132" s="81">
        <f t="shared" si="33"/>
        <v>408887</v>
      </c>
      <c r="D132" s="41"/>
      <c r="E132" s="38"/>
      <c r="F132" s="41"/>
      <c r="G132" s="39"/>
      <c r="H132" s="41">
        <f>258439+5292</f>
        <v>263731</v>
      </c>
      <c r="I132" s="280">
        <v>107242</v>
      </c>
      <c r="J132" s="155"/>
      <c r="K132" s="39"/>
      <c r="L132" s="33">
        <v>37914</v>
      </c>
    </row>
    <row r="133" spans="1:12" ht="38.25" hidden="1">
      <c r="A133" s="162" t="s">
        <v>229</v>
      </c>
      <c r="B133" s="140" t="s">
        <v>244</v>
      </c>
      <c r="C133" s="81">
        <f>SUM(D133:L133)</f>
        <v>0</v>
      </c>
      <c r="D133" s="41">
        <v>0</v>
      </c>
      <c r="E133" s="39"/>
      <c r="F133" s="41"/>
      <c r="G133" s="39"/>
      <c r="H133" s="41"/>
      <c r="I133" s="39"/>
      <c r="J133" s="41"/>
      <c r="K133" s="38"/>
      <c r="L133" s="33"/>
    </row>
    <row r="134" spans="1:12" ht="51" hidden="1">
      <c r="A134" s="162" t="s">
        <v>230</v>
      </c>
      <c r="B134" s="140" t="s">
        <v>228</v>
      </c>
      <c r="C134" s="81">
        <f>SUM(D134:L134)</f>
        <v>0</v>
      </c>
      <c r="D134" s="41"/>
      <c r="E134" s="39">
        <v>0</v>
      </c>
      <c r="F134" s="41"/>
      <c r="G134" s="39"/>
      <c r="H134" s="41"/>
      <c r="I134" s="39"/>
      <c r="J134" s="41"/>
      <c r="K134" s="38"/>
      <c r="L134" s="33">
        <v>0</v>
      </c>
    </row>
    <row r="135" spans="1:12" ht="12.75">
      <c r="A135" s="164" t="s">
        <v>72</v>
      </c>
      <c r="B135" s="142" t="s">
        <v>245</v>
      </c>
      <c r="C135" s="82">
        <f t="shared" si="33"/>
        <v>2621491</v>
      </c>
      <c r="D135" s="54">
        <f>SUM(D136:D139)</f>
        <v>1778755</v>
      </c>
      <c r="E135" s="54">
        <f aca="true" t="shared" si="35" ref="E135:L135">SUM(E136:E139)</f>
        <v>0</v>
      </c>
      <c r="F135" s="54">
        <f t="shared" si="35"/>
        <v>158791</v>
      </c>
      <c r="G135" s="54">
        <f t="shared" si="35"/>
        <v>0</v>
      </c>
      <c r="H135" s="54">
        <f t="shared" si="35"/>
        <v>635104</v>
      </c>
      <c r="I135" s="75">
        <f t="shared" si="35"/>
        <v>0</v>
      </c>
      <c r="J135" s="54">
        <f t="shared" si="35"/>
        <v>0</v>
      </c>
      <c r="K135" s="54">
        <f t="shared" si="35"/>
        <v>0</v>
      </c>
      <c r="L135" s="56">
        <f t="shared" si="35"/>
        <v>48841</v>
      </c>
    </row>
    <row r="136" spans="1:12" ht="25.5">
      <c r="A136" s="162" t="s">
        <v>74</v>
      </c>
      <c r="B136" s="140" t="s">
        <v>283</v>
      </c>
      <c r="C136" s="81">
        <f t="shared" si="33"/>
        <v>779802</v>
      </c>
      <c r="D136" s="32">
        <f>456862-71000</f>
        <v>385862</v>
      </c>
      <c r="E136" s="38"/>
      <c r="F136" s="32">
        <v>54438</v>
      </c>
      <c r="G136" s="28"/>
      <c r="H136" s="41">
        <f>221999+109095</f>
        <v>331094</v>
      </c>
      <c r="I136" s="38"/>
      <c r="J136" s="32"/>
      <c r="K136" s="28"/>
      <c r="L136" s="33">
        <v>8408</v>
      </c>
    </row>
    <row r="137" spans="1:12" ht="12.75">
      <c r="A137" s="162" t="s">
        <v>75</v>
      </c>
      <c r="B137" s="140" t="s">
        <v>91</v>
      </c>
      <c r="C137" s="81">
        <f t="shared" si="33"/>
        <v>204613</v>
      </c>
      <c r="D137" s="32">
        <v>121965</v>
      </c>
      <c r="E137" s="28"/>
      <c r="F137" s="32">
        <v>15709</v>
      </c>
      <c r="G137" s="28"/>
      <c r="H137" s="32">
        <v>63248</v>
      </c>
      <c r="I137" s="38"/>
      <c r="J137" s="32"/>
      <c r="K137" s="28"/>
      <c r="L137" s="33">
        <v>3691</v>
      </c>
    </row>
    <row r="138" spans="1:12" ht="12.75">
      <c r="A138" s="162" t="s">
        <v>96</v>
      </c>
      <c r="B138" s="140" t="s">
        <v>231</v>
      </c>
      <c r="C138" s="81">
        <f t="shared" si="33"/>
        <v>1602153</v>
      </c>
      <c r="D138" s="32">
        <f>1268423+2505</f>
        <v>1270928</v>
      </c>
      <c r="E138" s="38"/>
      <c r="F138" s="32">
        <v>88644</v>
      </c>
      <c r="G138" s="38"/>
      <c r="H138" s="32">
        <f>230201-11355+3775</f>
        <v>222621</v>
      </c>
      <c r="I138" s="38"/>
      <c r="J138" s="32"/>
      <c r="K138" s="28"/>
      <c r="L138" s="33">
        <v>19960</v>
      </c>
    </row>
    <row r="139" spans="1:12" ht="25.5">
      <c r="A139" s="162" t="s">
        <v>284</v>
      </c>
      <c r="B139" s="140" t="s">
        <v>345</v>
      </c>
      <c r="C139" s="81">
        <f t="shared" si="33"/>
        <v>34923</v>
      </c>
      <c r="D139" s="32"/>
      <c r="E139" s="38"/>
      <c r="F139" s="32"/>
      <c r="G139" s="38"/>
      <c r="H139" s="32">
        <f>3293+14848</f>
        <v>18141</v>
      </c>
      <c r="I139" s="38"/>
      <c r="J139" s="32"/>
      <c r="K139" s="28"/>
      <c r="L139" s="33">
        <v>16782</v>
      </c>
    </row>
    <row r="140" spans="1:12" ht="12.75">
      <c r="A140" s="171" t="s">
        <v>161</v>
      </c>
      <c r="B140" s="146" t="s">
        <v>285</v>
      </c>
      <c r="C140" s="82">
        <f t="shared" si="33"/>
        <v>4269</v>
      </c>
      <c r="D140" s="54">
        <f>SUM(D141:D142)</f>
        <v>4269</v>
      </c>
      <c r="E140" s="34">
        <f aca="true" t="shared" si="36" ref="E140:L140">SUM(E141:E142)</f>
        <v>0</v>
      </c>
      <c r="F140" s="54">
        <f t="shared" si="36"/>
        <v>0</v>
      </c>
      <c r="G140" s="34">
        <f t="shared" si="36"/>
        <v>0</v>
      </c>
      <c r="H140" s="54">
        <f t="shared" si="36"/>
        <v>0</v>
      </c>
      <c r="I140" s="34">
        <f t="shared" si="36"/>
        <v>0</v>
      </c>
      <c r="J140" s="54">
        <f t="shared" si="36"/>
        <v>0</v>
      </c>
      <c r="K140" s="34">
        <f t="shared" si="36"/>
        <v>0</v>
      </c>
      <c r="L140" s="177">
        <f t="shared" si="36"/>
        <v>0</v>
      </c>
    </row>
    <row r="141" spans="1:12" ht="25.5">
      <c r="A141" s="178" t="s">
        <v>199</v>
      </c>
      <c r="B141" s="140" t="s">
        <v>232</v>
      </c>
      <c r="C141" s="81">
        <f>SUM(D141:L141)</f>
        <v>2846</v>
      </c>
      <c r="D141" s="32">
        <v>2846</v>
      </c>
      <c r="E141" s="29"/>
      <c r="F141" s="32"/>
      <c r="G141" s="29"/>
      <c r="H141" s="32"/>
      <c r="I141" s="29"/>
      <c r="J141" s="32"/>
      <c r="K141" s="29"/>
      <c r="L141" s="33"/>
    </row>
    <row r="142" spans="1:12" ht="25.5">
      <c r="A142" s="178" t="s">
        <v>233</v>
      </c>
      <c r="B142" s="140" t="s">
        <v>349</v>
      </c>
      <c r="C142" s="81">
        <f>SUM(D142:L142)</f>
        <v>1423</v>
      </c>
      <c r="D142" s="32">
        <v>1423</v>
      </c>
      <c r="E142" s="29"/>
      <c r="F142" s="32"/>
      <c r="G142" s="29"/>
      <c r="H142" s="32"/>
      <c r="I142" s="29"/>
      <c r="J142" s="32"/>
      <c r="K142" s="29"/>
      <c r="L142" s="33"/>
    </row>
    <row r="143" spans="1:12" ht="12.75">
      <c r="A143" s="171" t="s">
        <v>158</v>
      </c>
      <c r="B143" s="146" t="s">
        <v>246</v>
      </c>
      <c r="C143" s="82">
        <f t="shared" si="33"/>
        <v>1091927</v>
      </c>
      <c r="D143" s="54">
        <f aca="true" t="shared" si="37" ref="D143:L143">D144+D145</f>
        <v>666057</v>
      </c>
      <c r="E143" s="34">
        <f t="shared" si="37"/>
        <v>500</v>
      </c>
      <c r="F143" s="54">
        <f t="shared" si="37"/>
        <v>163599</v>
      </c>
      <c r="G143" s="34">
        <f t="shared" si="37"/>
        <v>0</v>
      </c>
      <c r="H143" s="54">
        <f t="shared" si="37"/>
        <v>157287</v>
      </c>
      <c r="I143" s="34">
        <f t="shared" si="37"/>
        <v>0</v>
      </c>
      <c r="J143" s="54">
        <f t="shared" si="37"/>
        <v>0</v>
      </c>
      <c r="K143" s="34">
        <f t="shared" si="37"/>
        <v>0</v>
      </c>
      <c r="L143" s="56">
        <f t="shared" si="37"/>
        <v>104484</v>
      </c>
    </row>
    <row r="144" spans="1:12" ht="25.5">
      <c r="A144" s="178" t="s">
        <v>159</v>
      </c>
      <c r="B144" s="140" t="s">
        <v>286</v>
      </c>
      <c r="C144" s="107">
        <f t="shared" si="33"/>
        <v>802169</v>
      </c>
      <c r="D144" s="30">
        <v>666057</v>
      </c>
      <c r="E144" s="281">
        <v>500</v>
      </c>
      <c r="F144" s="76">
        <v>135599</v>
      </c>
      <c r="G144" s="38"/>
      <c r="H144" s="41"/>
      <c r="I144" s="38"/>
      <c r="J144" s="41"/>
      <c r="K144" s="28"/>
      <c r="L144" s="55">
        <v>13</v>
      </c>
    </row>
    <row r="145" spans="1:12" ht="25.5">
      <c r="A145" s="178" t="s">
        <v>160</v>
      </c>
      <c r="B145" s="140" t="s">
        <v>346</v>
      </c>
      <c r="C145" s="107">
        <f t="shared" si="33"/>
        <v>289758</v>
      </c>
      <c r="D145" s="30"/>
      <c r="E145" s="28"/>
      <c r="F145" s="76">
        <v>28000</v>
      </c>
      <c r="G145" s="38"/>
      <c r="H145" s="41">
        <f>142287+15000</f>
        <v>157287</v>
      </c>
      <c r="I145" s="38"/>
      <c r="J145" s="32"/>
      <c r="K145" s="28"/>
      <c r="L145" s="55">
        <v>104471</v>
      </c>
    </row>
    <row r="146" spans="1:12" ht="12.75">
      <c r="A146" s="164" t="s">
        <v>92</v>
      </c>
      <c r="B146" s="146" t="s">
        <v>234</v>
      </c>
      <c r="C146" s="82">
        <f t="shared" si="33"/>
        <v>735043</v>
      </c>
      <c r="D146" s="54">
        <f aca="true" t="shared" si="38" ref="D146:L146">SUM(D147:D150)</f>
        <v>715016</v>
      </c>
      <c r="E146" s="34">
        <f t="shared" si="38"/>
        <v>0</v>
      </c>
      <c r="F146" s="54">
        <f t="shared" si="38"/>
        <v>0</v>
      </c>
      <c r="G146" s="34">
        <f t="shared" si="38"/>
        <v>0</v>
      </c>
      <c r="H146" s="54">
        <f t="shared" si="38"/>
        <v>0</v>
      </c>
      <c r="I146" s="34">
        <f t="shared" si="38"/>
        <v>0</v>
      </c>
      <c r="J146" s="54">
        <f t="shared" si="38"/>
        <v>0</v>
      </c>
      <c r="K146" s="34">
        <f t="shared" si="38"/>
        <v>0</v>
      </c>
      <c r="L146" s="56">
        <f t="shared" si="38"/>
        <v>20027</v>
      </c>
    </row>
    <row r="147" spans="1:12" ht="12.75">
      <c r="A147" s="162" t="s">
        <v>235</v>
      </c>
      <c r="B147" s="140" t="s">
        <v>287</v>
      </c>
      <c r="C147" s="107">
        <f t="shared" si="33"/>
        <v>676409</v>
      </c>
      <c r="D147" s="32">
        <v>676409</v>
      </c>
      <c r="E147" s="38"/>
      <c r="F147" s="32"/>
      <c r="G147" s="28"/>
      <c r="H147" s="32"/>
      <c r="I147" s="28"/>
      <c r="J147" s="32"/>
      <c r="K147" s="28"/>
      <c r="L147" s="33"/>
    </row>
    <row r="148" spans="1:12" ht="25.5">
      <c r="A148" s="162" t="s">
        <v>236</v>
      </c>
      <c r="B148" s="140" t="s">
        <v>303</v>
      </c>
      <c r="C148" s="107">
        <f t="shared" si="33"/>
        <v>20027</v>
      </c>
      <c r="D148" s="32"/>
      <c r="E148" s="39"/>
      <c r="F148" s="32"/>
      <c r="G148" s="29"/>
      <c r="H148" s="32"/>
      <c r="I148" s="29"/>
      <c r="J148" s="32"/>
      <c r="K148" s="29"/>
      <c r="L148" s="33">
        <v>20027</v>
      </c>
    </row>
    <row r="149" spans="1:12" ht="25.5">
      <c r="A149" s="162" t="s">
        <v>356</v>
      </c>
      <c r="B149" s="140" t="s">
        <v>355</v>
      </c>
      <c r="C149" s="107">
        <f>SUM(D149:L149)</f>
        <v>38607</v>
      </c>
      <c r="D149" s="32">
        <v>38607</v>
      </c>
      <c r="E149" s="39"/>
      <c r="F149" s="32"/>
      <c r="G149" s="29"/>
      <c r="H149" s="32"/>
      <c r="I149" s="29"/>
      <c r="J149" s="32"/>
      <c r="K149" s="29"/>
      <c r="L149" s="33"/>
    </row>
    <row r="150" spans="1:12" ht="25.5" customHeight="1" hidden="1">
      <c r="A150" s="162" t="s">
        <v>170</v>
      </c>
      <c r="B150" s="140" t="s">
        <v>237</v>
      </c>
      <c r="C150" s="81">
        <f t="shared" si="33"/>
        <v>0</v>
      </c>
      <c r="D150" s="32"/>
      <c r="E150" s="28"/>
      <c r="F150" s="32"/>
      <c r="G150" s="28"/>
      <c r="H150" s="32"/>
      <c r="I150" s="28"/>
      <c r="J150" s="32"/>
      <c r="K150" s="28"/>
      <c r="L150" s="33">
        <v>0</v>
      </c>
    </row>
    <row r="151" spans="1:12" s="113" customFormat="1" ht="12.75">
      <c r="A151" s="166" t="s">
        <v>22</v>
      </c>
      <c r="B151" s="143" t="s">
        <v>11</v>
      </c>
      <c r="C151" s="144">
        <f t="shared" si="33"/>
        <v>4697411</v>
      </c>
      <c r="D151" s="144">
        <f>D152+D157+D160+D166+D167+D168+D177</f>
        <v>4350106</v>
      </c>
      <c r="E151" s="144">
        <f aca="true" t="shared" si="39" ref="E151:L151">E152+E157+E160+E166+E167+E168+E177</f>
        <v>0</v>
      </c>
      <c r="F151" s="144">
        <f t="shared" si="39"/>
        <v>36105</v>
      </c>
      <c r="G151" s="144">
        <f t="shared" si="39"/>
        <v>0</v>
      </c>
      <c r="H151" s="144">
        <f t="shared" si="39"/>
        <v>272632</v>
      </c>
      <c r="I151" s="144">
        <f t="shared" si="39"/>
        <v>0</v>
      </c>
      <c r="J151" s="144">
        <f t="shared" si="39"/>
        <v>0</v>
      </c>
      <c r="K151" s="144">
        <f t="shared" si="39"/>
        <v>0</v>
      </c>
      <c r="L151" s="167">
        <f t="shared" si="39"/>
        <v>38568</v>
      </c>
    </row>
    <row r="152" spans="1:12" ht="12.75">
      <c r="A152" s="164" t="s">
        <v>76</v>
      </c>
      <c r="B152" s="146" t="s">
        <v>77</v>
      </c>
      <c r="C152" s="82">
        <f t="shared" si="33"/>
        <v>489799</v>
      </c>
      <c r="D152" s="54">
        <f aca="true" t="shared" si="40" ref="D152:K152">D153+D154+D155+D156</f>
        <v>294964</v>
      </c>
      <c r="E152" s="34">
        <f t="shared" si="40"/>
        <v>1422</v>
      </c>
      <c r="F152" s="54">
        <f t="shared" si="40"/>
        <v>7515</v>
      </c>
      <c r="G152" s="34">
        <f t="shared" si="40"/>
        <v>0</v>
      </c>
      <c r="H152" s="54">
        <f t="shared" si="40"/>
        <v>185595</v>
      </c>
      <c r="I152" s="34">
        <f t="shared" si="40"/>
        <v>0</v>
      </c>
      <c r="J152" s="54">
        <f t="shared" si="40"/>
        <v>0</v>
      </c>
      <c r="K152" s="34">
        <f t="shared" si="40"/>
        <v>0</v>
      </c>
      <c r="L152" s="56">
        <f>L153+L154+L155+L156</f>
        <v>303</v>
      </c>
    </row>
    <row r="153" spans="1:12" ht="25.5">
      <c r="A153" s="162" t="s">
        <v>97</v>
      </c>
      <c r="B153" s="140" t="s">
        <v>101</v>
      </c>
      <c r="C153" s="81">
        <f aca="true" t="shared" si="41" ref="C153:C159">SUM(D153:L153)</f>
        <v>252957</v>
      </c>
      <c r="D153" s="32">
        <v>97340</v>
      </c>
      <c r="E153" s="280">
        <v>1422</v>
      </c>
      <c r="F153" s="41"/>
      <c r="G153" s="39"/>
      <c r="H153" s="41">
        <f>101585+52563</f>
        <v>154148</v>
      </c>
      <c r="I153" s="39"/>
      <c r="J153" s="32"/>
      <c r="K153" s="29"/>
      <c r="L153" s="33">
        <v>47</v>
      </c>
    </row>
    <row r="154" spans="1:12" ht="12.75">
      <c r="A154" s="162" t="s">
        <v>98</v>
      </c>
      <c r="B154" s="140" t="s">
        <v>102</v>
      </c>
      <c r="C154" s="81">
        <f t="shared" si="41"/>
        <v>70926</v>
      </c>
      <c r="D154" s="32">
        <v>69413</v>
      </c>
      <c r="E154" s="39"/>
      <c r="F154" s="41">
        <v>1281</v>
      </c>
      <c r="G154" s="39"/>
      <c r="H154" s="41"/>
      <c r="I154" s="39"/>
      <c r="J154" s="32"/>
      <c r="K154" s="29"/>
      <c r="L154" s="33">
        <v>232</v>
      </c>
    </row>
    <row r="155" spans="1:12" ht="12.75">
      <c r="A155" s="162" t="s">
        <v>99</v>
      </c>
      <c r="B155" s="140" t="s">
        <v>103</v>
      </c>
      <c r="C155" s="81">
        <f t="shared" si="41"/>
        <v>67268</v>
      </c>
      <c r="D155" s="81">
        <v>65279</v>
      </c>
      <c r="E155" s="223"/>
      <c r="F155" s="201">
        <f>1565+400</f>
        <v>1965</v>
      </c>
      <c r="G155" s="223"/>
      <c r="H155" s="201"/>
      <c r="I155" s="223"/>
      <c r="J155" s="81"/>
      <c r="K155" s="84"/>
      <c r="L155" s="33">
        <v>24</v>
      </c>
    </row>
    <row r="156" spans="1:12" ht="12.75">
      <c r="A156" s="162" t="s">
        <v>100</v>
      </c>
      <c r="B156" s="140" t="s">
        <v>104</v>
      </c>
      <c r="C156" s="81">
        <f t="shared" si="41"/>
        <v>98648</v>
      </c>
      <c r="D156" s="32">
        <v>62932</v>
      </c>
      <c r="E156" s="39"/>
      <c r="F156" s="41">
        <v>4269</v>
      </c>
      <c r="G156" s="39"/>
      <c r="H156" s="41">
        <v>31447</v>
      </c>
      <c r="I156" s="39"/>
      <c r="J156" s="32"/>
      <c r="K156" s="29"/>
      <c r="L156" s="33"/>
    </row>
    <row r="157" spans="1:12" ht="12.75">
      <c r="A157" s="164" t="s">
        <v>105</v>
      </c>
      <c r="B157" s="146" t="s">
        <v>106</v>
      </c>
      <c r="C157" s="82">
        <f t="shared" si="41"/>
        <v>313627</v>
      </c>
      <c r="D157" s="54">
        <f aca="true" t="shared" si="42" ref="D157:K157">D158+D159</f>
        <v>306924</v>
      </c>
      <c r="E157" s="70">
        <f t="shared" si="42"/>
        <v>-8777</v>
      </c>
      <c r="F157" s="75">
        <f t="shared" si="42"/>
        <v>9857</v>
      </c>
      <c r="G157" s="70">
        <f t="shared" si="42"/>
        <v>0</v>
      </c>
      <c r="H157" s="75">
        <f t="shared" si="42"/>
        <v>0</v>
      </c>
      <c r="I157" s="70">
        <f t="shared" si="42"/>
        <v>0</v>
      </c>
      <c r="J157" s="54">
        <f t="shared" si="42"/>
        <v>0</v>
      </c>
      <c r="K157" s="34">
        <f t="shared" si="42"/>
        <v>0</v>
      </c>
      <c r="L157" s="56">
        <f>L158+L159</f>
        <v>5623</v>
      </c>
    </row>
    <row r="158" spans="1:12" ht="12.75">
      <c r="A158" s="162" t="s">
        <v>107</v>
      </c>
      <c r="B158" s="140" t="s">
        <v>247</v>
      </c>
      <c r="C158" s="81">
        <f t="shared" si="41"/>
        <v>205692</v>
      </c>
      <c r="D158" s="32">
        <v>195674</v>
      </c>
      <c r="E158" s="39"/>
      <c r="F158" s="41">
        <f>9249+608</f>
        <v>9857</v>
      </c>
      <c r="G158" s="39"/>
      <c r="H158" s="41"/>
      <c r="I158" s="39"/>
      <c r="J158" s="32"/>
      <c r="K158" s="29"/>
      <c r="L158" s="33">
        <v>161</v>
      </c>
    </row>
    <row r="159" spans="1:12" ht="12.75">
      <c r="A159" s="162" t="s">
        <v>108</v>
      </c>
      <c r="B159" s="140" t="s">
        <v>238</v>
      </c>
      <c r="C159" s="81">
        <f t="shared" si="41"/>
        <v>107935</v>
      </c>
      <c r="D159" s="32">
        <v>111250</v>
      </c>
      <c r="E159" s="280">
        <v>-8777</v>
      </c>
      <c r="F159" s="41"/>
      <c r="G159" s="39"/>
      <c r="H159" s="41"/>
      <c r="I159" s="39"/>
      <c r="J159" s="32"/>
      <c r="K159" s="29"/>
      <c r="L159" s="33">
        <v>5462</v>
      </c>
    </row>
    <row r="160" spans="1:12" ht="12.75">
      <c r="A160" s="164" t="s">
        <v>78</v>
      </c>
      <c r="B160" s="146" t="s">
        <v>79</v>
      </c>
      <c r="C160" s="82">
        <f aca="true" t="shared" si="43" ref="C160:C171">SUM(D160:L160)</f>
        <v>739294</v>
      </c>
      <c r="D160" s="54">
        <f>SUM(D161:D165)</f>
        <v>707085</v>
      </c>
      <c r="E160" s="34">
        <f aca="true" t="shared" si="44" ref="E160:L160">SUM(E161:E165)</f>
        <v>0</v>
      </c>
      <c r="F160" s="54">
        <f t="shared" si="44"/>
        <v>5720</v>
      </c>
      <c r="G160" s="34">
        <f t="shared" si="44"/>
        <v>0</v>
      </c>
      <c r="H160" s="54">
        <f t="shared" si="44"/>
        <v>0</v>
      </c>
      <c r="I160" s="34">
        <f t="shared" si="44"/>
        <v>0</v>
      </c>
      <c r="J160" s="54">
        <f t="shared" si="44"/>
        <v>0</v>
      </c>
      <c r="K160" s="34">
        <f t="shared" si="44"/>
        <v>0</v>
      </c>
      <c r="L160" s="56">
        <f t="shared" si="44"/>
        <v>26489</v>
      </c>
    </row>
    <row r="161" spans="1:12" ht="12.75" hidden="1">
      <c r="A161" s="162" t="s">
        <v>109</v>
      </c>
      <c r="B161" s="140" t="s">
        <v>130</v>
      </c>
      <c r="C161" s="81">
        <f t="shared" si="43"/>
        <v>0</v>
      </c>
      <c r="D161" s="41"/>
      <c r="E161" s="29"/>
      <c r="F161" s="32"/>
      <c r="G161" s="29"/>
      <c r="H161" s="32"/>
      <c r="I161" s="29"/>
      <c r="J161" s="32"/>
      <c r="K161" s="29"/>
      <c r="L161" s="179"/>
    </row>
    <row r="162" spans="1:12" ht="25.5">
      <c r="A162" s="162" t="s">
        <v>138</v>
      </c>
      <c r="B162" s="140" t="s">
        <v>171</v>
      </c>
      <c r="C162" s="81">
        <f t="shared" si="43"/>
        <v>584014</v>
      </c>
      <c r="D162" s="32">
        <f>581955-13672</f>
        <v>568283</v>
      </c>
      <c r="E162" s="39"/>
      <c r="F162" s="41">
        <v>5720</v>
      </c>
      <c r="G162" s="39"/>
      <c r="H162" s="41"/>
      <c r="I162" s="39"/>
      <c r="J162" s="32"/>
      <c r="K162" s="29"/>
      <c r="L162" s="55">
        <v>10011</v>
      </c>
    </row>
    <row r="163" spans="1:12" ht="12.75">
      <c r="A163" s="162" t="s">
        <v>110</v>
      </c>
      <c r="B163" s="140" t="s">
        <v>288</v>
      </c>
      <c r="C163" s="81">
        <f t="shared" si="43"/>
        <v>137724</v>
      </c>
      <c r="D163" s="32">
        <v>137626</v>
      </c>
      <c r="E163" s="29"/>
      <c r="F163" s="32"/>
      <c r="G163" s="29"/>
      <c r="H163" s="32"/>
      <c r="I163" s="29"/>
      <c r="J163" s="32"/>
      <c r="K163" s="29"/>
      <c r="L163" s="33">
        <v>98</v>
      </c>
    </row>
    <row r="164" spans="1:12" ht="51">
      <c r="A164" s="162" t="s">
        <v>239</v>
      </c>
      <c r="B164" s="140" t="s">
        <v>241</v>
      </c>
      <c r="C164" s="81">
        <f>SUM(D164:L164)</f>
        <v>6642</v>
      </c>
      <c r="D164" s="32">
        <v>1176</v>
      </c>
      <c r="E164" s="29"/>
      <c r="F164" s="32"/>
      <c r="G164" s="29"/>
      <c r="H164" s="32"/>
      <c r="I164" s="29"/>
      <c r="J164" s="32"/>
      <c r="K164" s="29"/>
      <c r="L164" s="33">
        <v>5466</v>
      </c>
    </row>
    <row r="165" spans="1:12" ht="51">
      <c r="A165" s="162" t="s">
        <v>240</v>
      </c>
      <c r="B165" s="140" t="s">
        <v>248</v>
      </c>
      <c r="C165" s="81">
        <f>SUM(D165:L165)</f>
        <v>10914</v>
      </c>
      <c r="D165" s="32"/>
      <c r="E165" s="29"/>
      <c r="F165" s="32"/>
      <c r="G165" s="29"/>
      <c r="H165" s="32"/>
      <c r="I165" s="29"/>
      <c r="J165" s="32"/>
      <c r="K165" s="29"/>
      <c r="L165" s="33">
        <v>10914</v>
      </c>
    </row>
    <row r="166" spans="1:12" ht="12.75">
      <c r="A166" s="171" t="s">
        <v>249</v>
      </c>
      <c r="B166" s="146" t="s">
        <v>172</v>
      </c>
      <c r="C166" s="82">
        <f t="shared" si="43"/>
        <v>176240</v>
      </c>
      <c r="D166" s="54">
        <f>110717-25000</f>
        <v>85717</v>
      </c>
      <c r="E166" s="70"/>
      <c r="F166" s="75"/>
      <c r="G166" s="70"/>
      <c r="H166" s="54">
        <v>87037</v>
      </c>
      <c r="I166" s="70"/>
      <c r="J166" s="54"/>
      <c r="K166" s="34"/>
      <c r="L166" s="56">
        <v>3486</v>
      </c>
    </row>
    <row r="167" spans="1:12" ht="40.5">
      <c r="A167" s="164" t="s">
        <v>80</v>
      </c>
      <c r="B167" s="146" t="s">
        <v>0</v>
      </c>
      <c r="C167" s="82">
        <f t="shared" si="43"/>
        <v>732488</v>
      </c>
      <c r="D167" s="54">
        <f>652488+80000</f>
        <v>732488</v>
      </c>
      <c r="E167" s="70"/>
      <c r="F167" s="75"/>
      <c r="G167" s="70"/>
      <c r="H167" s="54"/>
      <c r="I167" s="70"/>
      <c r="J167" s="54"/>
      <c r="K167" s="34"/>
      <c r="L167" s="56"/>
    </row>
    <row r="168" spans="1:12" ht="25.5">
      <c r="A168" s="164" t="s">
        <v>81</v>
      </c>
      <c r="B168" s="146" t="s">
        <v>131</v>
      </c>
      <c r="C168" s="82">
        <f t="shared" si="43"/>
        <v>1108819</v>
      </c>
      <c r="D168" s="54">
        <f>SUM(D169:D176)</f>
        <v>1088340</v>
      </c>
      <c r="E168" s="70">
        <f aca="true" t="shared" si="45" ref="E168:L168">SUM(E169:E176)</f>
        <v>7355</v>
      </c>
      <c r="F168" s="75">
        <f t="shared" si="45"/>
        <v>12159</v>
      </c>
      <c r="G168" s="70">
        <f t="shared" si="45"/>
        <v>0</v>
      </c>
      <c r="H168" s="54">
        <f t="shared" si="45"/>
        <v>0</v>
      </c>
      <c r="I168" s="34">
        <f t="shared" si="45"/>
        <v>0</v>
      </c>
      <c r="J168" s="54">
        <f t="shared" si="45"/>
        <v>0</v>
      </c>
      <c r="K168" s="34">
        <f t="shared" si="45"/>
        <v>0</v>
      </c>
      <c r="L168" s="56">
        <f t="shared" si="45"/>
        <v>965</v>
      </c>
    </row>
    <row r="169" spans="1:12" ht="12.75">
      <c r="A169" s="162" t="s">
        <v>111</v>
      </c>
      <c r="B169" s="140" t="s">
        <v>117</v>
      </c>
      <c r="C169" s="107">
        <f t="shared" si="43"/>
        <v>11924</v>
      </c>
      <c r="D169" s="41">
        <v>11924</v>
      </c>
      <c r="E169" s="39"/>
      <c r="F169" s="41"/>
      <c r="G169" s="38"/>
      <c r="H169" s="32"/>
      <c r="I169" s="28"/>
      <c r="J169" s="32"/>
      <c r="K169" s="28"/>
      <c r="L169" s="33"/>
    </row>
    <row r="170" spans="1:12" ht="12.75">
      <c r="A170" s="162" t="s">
        <v>112</v>
      </c>
      <c r="B170" s="140" t="s">
        <v>289</v>
      </c>
      <c r="C170" s="107">
        <f t="shared" si="43"/>
        <v>0</v>
      </c>
      <c r="D170" s="32"/>
      <c r="E170" s="39"/>
      <c r="F170" s="41"/>
      <c r="G170" s="38"/>
      <c r="H170" s="32"/>
      <c r="I170" s="28"/>
      <c r="J170" s="32"/>
      <c r="K170" s="28"/>
      <c r="L170" s="33"/>
    </row>
    <row r="171" spans="1:12" ht="25.5">
      <c r="A171" s="162" t="s">
        <v>113</v>
      </c>
      <c r="B171" s="140" t="s">
        <v>119</v>
      </c>
      <c r="C171" s="107">
        <f t="shared" si="43"/>
        <v>218820</v>
      </c>
      <c r="D171" s="32">
        <f>260172-48707</f>
        <v>211465</v>
      </c>
      <c r="E171" s="280">
        <v>7355</v>
      </c>
      <c r="F171" s="41"/>
      <c r="G171" s="38"/>
      <c r="H171" s="32"/>
      <c r="I171" s="38"/>
      <c r="J171" s="32"/>
      <c r="K171" s="28"/>
      <c r="L171" s="33"/>
    </row>
    <row r="172" spans="1:12" ht="12.75">
      <c r="A172" s="162" t="s">
        <v>114</v>
      </c>
      <c r="B172" s="140" t="s">
        <v>290</v>
      </c>
      <c r="C172" s="107">
        <f aca="true" t="shared" si="46" ref="C172:C186">SUM(D172:L172)</f>
        <v>0</v>
      </c>
      <c r="D172" s="32"/>
      <c r="E172" s="39"/>
      <c r="F172" s="41"/>
      <c r="G172" s="38"/>
      <c r="H172" s="32"/>
      <c r="I172" s="28"/>
      <c r="J172" s="32"/>
      <c r="K172" s="28"/>
      <c r="L172" s="33"/>
    </row>
    <row r="173" spans="1:12" ht="12.75">
      <c r="A173" s="162" t="s">
        <v>306</v>
      </c>
      <c r="B173" s="140" t="s">
        <v>347</v>
      </c>
      <c r="C173" s="107">
        <f t="shared" si="46"/>
        <v>79325</v>
      </c>
      <c r="D173" s="32">
        <v>75169</v>
      </c>
      <c r="E173" s="39"/>
      <c r="F173" s="41">
        <f>2134+1500</f>
        <v>3634</v>
      </c>
      <c r="G173" s="38"/>
      <c r="H173" s="32"/>
      <c r="I173" s="28"/>
      <c r="J173" s="32"/>
      <c r="K173" s="28"/>
      <c r="L173" s="33">
        <v>522</v>
      </c>
    </row>
    <row r="174" spans="1:12" ht="25.5">
      <c r="A174" s="162" t="s">
        <v>115</v>
      </c>
      <c r="B174" s="140" t="s">
        <v>302</v>
      </c>
      <c r="C174" s="107">
        <f t="shared" si="46"/>
        <v>697806</v>
      </c>
      <c r="D174" s="32">
        <v>692595</v>
      </c>
      <c r="E174" s="39"/>
      <c r="F174" s="41">
        <f>2464+2500</f>
        <v>4964</v>
      </c>
      <c r="G174" s="39"/>
      <c r="H174" s="32"/>
      <c r="I174" s="79"/>
      <c r="J174" s="78"/>
      <c r="K174" s="79"/>
      <c r="L174" s="33">
        <v>247</v>
      </c>
    </row>
    <row r="175" spans="1:12" ht="12.75">
      <c r="A175" s="162" t="s">
        <v>116</v>
      </c>
      <c r="B175" s="140" t="s">
        <v>118</v>
      </c>
      <c r="C175" s="107">
        <f t="shared" si="46"/>
        <v>17114</v>
      </c>
      <c r="D175" s="32">
        <v>13695</v>
      </c>
      <c r="E175" s="39"/>
      <c r="F175" s="41">
        <f>2419+1000</f>
        <v>3419</v>
      </c>
      <c r="G175" s="38"/>
      <c r="H175" s="32"/>
      <c r="I175" s="28"/>
      <c r="J175" s="32"/>
      <c r="K175" s="28"/>
      <c r="L175" s="33"/>
    </row>
    <row r="176" spans="1:12" ht="25.5">
      <c r="A176" s="162" t="s">
        <v>291</v>
      </c>
      <c r="B176" s="140" t="s">
        <v>309</v>
      </c>
      <c r="C176" s="107">
        <f t="shared" si="46"/>
        <v>83830</v>
      </c>
      <c r="D176" s="32">
        <v>83492</v>
      </c>
      <c r="E176" s="29"/>
      <c r="F176" s="32">
        <v>142</v>
      </c>
      <c r="G176" s="28"/>
      <c r="H176" s="32"/>
      <c r="I176" s="28"/>
      <c r="J176" s="32"/>
      <c r="K176" s="28"/>
      <c r="L176" s="33">
        <v>196</v>
      </c>
    </row>
    <row r="177" spans="1:12" ht="12.75">
      <c r="A177" s="164" t="s">
        <v>299</v>
      </c>
      <c r="B177" s="146" t="s">
        <v>293</v>
      </c>
      <c r="C177" s="82">
        <f t="shared" si="46"/>
        <v>1137144</v>
      </c>
      <c r="D177" s="54">
        <f>SUM(D178:D180)</f>
        <v>1134588</v>
      </c>
      <c r="E177" s="54">
        <f aca="true" t="shared" si="47" ref="E177:L177">SUM(E178:E180)</f>
        <v>0</v>
      </c>
      <c r="F177" s="54">
        <f t="shared" si="47"/>
        <v>854</v>
      </c>
      <c r="G177" s="54">
        <f t="shared" si="47"/>
        <v>0</v>
      </c>
      <c r="H177" s="54">
        <f t="shared" si="47"/>
        <v>0</v>
      </c>
      <c r="I177" s="54">
        <f t="shared" si="47"/>
        <v>0</v>
      </c>
      <c r="J177" s="54">
        <f t="shared" si="47"/>
        <v>0</v>
      </c>
      <c r="K177" s="54">
        <f t="shared" si="47"/>
        <v>0</v>
      </c>
      <c r="L177" s="56">
        <f t="shared" si="47"/>
        <v>1702</v>
      </c>
    </row>
    <row r="178" spans="1:12" ht="12.75">
      <c r="A178" s="162" t="s">
        <v>82</v>
      </c>
      <c r="B178" s="140" t="s">
        <v>292</v>
      </c>
      <c r="C178" s="82">
        <f t="shared" si="46"/>
        <v>897383</v>
      </c>
      <c r="D178" s="54">
        <f>896003-1176</f>
        <v>894827</v>
      </c>
      <c r="E178" s="34"/>
      <c r="F178" s="54">
        <v>854</v>
      </c>
      <c r="G178" s="34"/>
      <c r="H178" s="54"/>
      <c r="I178" s="34"/>
      <c r="J178" s="54"/>
      <c r="K178" s="34"/>
      <c r="L178" s="56">
        <v>1702</v>
      </c>
    </row>
    <row r="179" spans="1:12" ht="25.5">
      <c r="A179" s="162" t="s">
        <v>294</v>
      </c>
      <c r="B179" s="140" t="s">
        <v>295</v>
      </c>
      <c r="C179" s="82">
        <f t="shared" si="46"/>
        <v>19229</v>
      </c>
      <c r="D179" s="54">
        <f>14229+5000</f>
        <v>19229</v>
      </c>
      <c r="E179" s="70"/>
      <c r="F179" s="54"/>
      <c r="G179" s="34"/>
      <c r="H179" s="54"/>
      <c r="I179" s="34"/>
      <c r="J179" s="54"/>
      <c r="K179" s="34"/>
      <c r="L179" s="56"/>
    </row>
    <row r="180" spans="1:12" ht="26.25" thickBot="1">
      <c r="A180" s="190">
        <v>10.922</v>
      </c>
      <c r="B180" s="193" t="s">
        <v>348</v>
      </c>
      <c r="C180" s="191">
        <f t="shared" si="46"/>
        <v>220532</v>
      </c>
      <c r="D180" s="98">
        <v>220532</v>
      </c>
      <c r="E180" s="99"/>
      <c r="F180" s="98"/>
      <c r="G180" s="99"/>
      <c r="H180" s="98"/>
      <c r="I180" s="99"/>
      <c r="J180" s="98"/>
      <c r="K180" s="99"/>
      <c r="L180" s="192"/>
    </row>
    <row r="181" spans="1:12" ht="13.5" thickBot="1">
      <c r="A181" s="182"/>
      <c r="B181" s="183" t="s">
        <v>38</v>
      </c>
      <c r="C181" s="184">
        <f t="shared" si="46"/>
        <v>6705841</v>
      </c>
      <c r="D181" s="185">
        <f>D182+D183</f>
        <v>594157</v>
      </c>
      <c r="E181" s="186">
        <f aca="true" t="shared" si="48" ref="E181:L181">E182+E183</f>
        <v>0</v>
      </c>
      <c r="F181" s="185">
        <f t="shared" si="48"/>
        <v>2703</v>
      </c>
      <c r="G181" s="186">
        <f t="shared" si="48"/>
        <v>0</v>
      </c>
      <c r="H181" s="185">
        <f t="shared" si="48"/>
        <v>2098025</v>
      </c>
      <c r="I181" s="186">
        <f t="shared" si="48"/>
        <v>1399272</v>
      </c>
      <c r="J181" s="185">
        <f t="shared" si="48"/>
        <v>0</v>
      </c>
      <c r="K181" s="186">
        <f t="shared" si="48"/>
        <v>0</v>
      </c>
      <c r="L181" s="187">
        <f t="shared" si="48"/>
        <v>2611684</v>
      </c>
    </row>
    <row r="182" spans="1:12" ht="12.75">
      <c r="A182" s="194" t="s">
        <v>146</v>
      </c>
      <c r="B182" s="195" t="s">
        <v>147</v>
      </c>
      <c r="C182" s="157">
        <f t="shared" si="46"/>
        <v>6257224</v>
      </c>
      <c r="D182" s="196">
        <v>145540</v>
      </c>
      <c r="E182" s="197"/>
      <c r="F182" s="196">
        <v>2703</v>
      </c>
      <c r="G182" s="198"/>
      <c r="H182" s="196">
        <f>2098025</f>
        <v>2098025</v>
      </c>
      <c r="I182" s="282">
        <v>1399272</v>
      </c>
      <c r="J182" s="196"/>
      <c r="K182" s="198"/>
      <c r="L182" s="199">
        <v>2611684</v>
      </c>
    </row>
    <row r="183" spans="1:12" ht="25.5">
      <c r="A183" s="139" t="s">
        <v>86</v>
      </c>
      <c r="B183" s="128" t="s">
        <v>296</v>
      </c>
      <c r="C183" s="129">
        <f t="shared" si="46"/>
        <v>448617</v>
      </c>
      <c r="D183" s="54">
        <f>SUM(D185:D190)</f>
        <v>448617</v>
      </c>
      <c r="E183" s="34">
        <f>SUM(E184:E190)</f>
        <v>0</v>
      </c>
      <c r="F183" s="54">
        <f aca="true" t="shared" si="49" ref="F183:K183">SUM(F184:F186)</f>
        <v>0</v>
      </c>
      <c r="G183" s="34">
        <f t="shared" si="49"/>
        <v>0</v>
      </c>
      <c r="H183" s="54">
        <f t="shared" si="49"/>
        <v>0</v>
      </c>
      <c r="I183" s="34">
        <f t="shared" si="49"/>
        <v>0</v>
      </c>
      <c r="J183" s="54">
        <f t="shared" si="49"/>
        <v>0</v>
      </c>
      <c r="K183" s="34">
        <f t="shared" si="49"/>
        <v>0</v>
      </c>
      <c r="L183" s="56">
        <f>SUM(L187:L190)</f>
        <v>0</v>
      </c>
    </row>
    <row r="184" spans="1:12" ht="25.5" hidden="1">
      <c r="A184" s="139"/>
      <c r="B184" s="130" t="s">
        <v>1</v>
      </c>
      <c r="C184" s="129">
        <f t="shared" si="46"/>
        <v>0</v>
      </c>
      <c r="D184" s="32"/>
      <c r="E184" s="29"/>
      <c r="F184" s="32"/>
      <c r="G184" s="29"/>
      <c r="H184" s="32"/>
      <c r="I184" s="29"/>
      <c r="J184" s="32"/>
      <c r="K184" s="29"/>
      <c r="L184" s="33"/>
    </row>
    <row r="185" spans="1:12" ht="25.5" hidden="1">
      <c r="A185" s="139"/>
      <c r="B185" s="130" t="s">
        <v>201</v>
      </c>
      <c r="C185" s="129">
        <f t="shared" si="46"/>
        <v>0</v>
      </c>
      <c r="D185" s="32"/>
      <c r="E185" s="29"/>
      <c r="F185" s="32"/>
      <c r="G185" s="29"/>
      <c r="H185" s="32"/>
      <c r="I185" s="29"/>
      <c r="J185" s="32"/>
      <c r="K185" s="29"/>
      <c r="L185" s="33"/>
    </row>
    <row r="186" spans="1:12" ht="25.5" hidden="1">
      <c r="A186" s="139"/>
      <c r="B186" s="130" t="s">
        <v>128</v>
      </c>
      <c r="C186" s="129">
        <f t="shared" si="46"/>
        <v>0</v>
      </c>
      <c r="D186" s="32"/>
      <c r="E186" s="29"/>
      <c r="F186" s="32"/>
      <c r="G186" s="29"/>
      <c r="H186" s="32"/>
      <c r="I186" s="29"/>
      <c r="J186" s="32"/>
      <c r="K186" s="29"/>
      <c r="L186" s="33"/>
    </row>
    <row r="187" spans="1:12" ht="25.5">
      <c r="A187" s="139"/>
      <c r="B187" s="130" t="s">
        <v>297</v>
      </c>
      <c r="C187" s="129">
        <f>SUM(D187:L187)</f>
        <v>42686</v>
      </c>
      <c r="D187" s="32">
        <v>42686</v>
      </c>
      <c r="E187" s="29"/>
      <c r="F187" s="32"/>
      <c r="G187" s="29"/>
      <c r="H187" s="32"/>
      <c r="I187" s="29"/>
      <c r="J187" s="32"/>
      <c r="K187" s="29"/>
      <c r="L187" s="33"/>
    </row>
    <row r="188" spans="1:12" ht="25.5">
      <c r="A188" s="139"/>
      <c r="B188" s="130" t="s">
        <v>1</v>
      </c>
      <c r="C188" s="129">
        <f>SUM(D188:L188)</f>
        <v>71144</v>
      </c>
      <c r="D188" s="32">
        <v>71144</v>
      </c>
      <c r="E188" s="29"/>
      <c r="F188" s="32"/>
      <c r="G188" s="29"/>
      <c r="H188" s="32"/>
      <c r="I188" s="29"/>
      <c r="J188" s="32"/>
      <c r="K188" s="29"/>
      <c r="L188" s="33"/>
    </row>
    <row r="189" spans="1:12" ht="25.5" hidden="1">
      <c r="A189" s="139"/>
      <c r="B189" s="130" t="s">
        <v>298</v>
      </c>
      <c r="C189" s="129">
        <f>SUM(D189:L189)</f>
        <v>0</v>
      </c>
      <c r="D189" s="32"/>
      <c r="E189" s="29"/>
      <c r="F189" s="32"/>
      <c r="G189" s="29"/>
      <c r="H189" s="32"/>
      <c r="I189" s="29"/>
      <c r="J189" s="32"/>
      <c r="K189" s="29"/>
      <c r="L189" s="33"/>
    </row>
    <row r="190" spans="1:12" ht="26.25" thickBot="1">
      <c r="A190" s="180"/>
      <c r="B190" s="131" t="s">
        <v>128</v>
      </c>
      <c r="C190" s="132">
        <f>SUM(D190:L190)</f>
        <v>334787</v>
      </c>
      <c r="D190" s="74">
        <f>282120+52667</f>
        <v>334787</v>
      </c>
      <c r="E190" s="133"/>
      <c r="F190" s="74"/>
      <c r="G190" s="133"/>
      <c r="H190" s="74"/>
      <c r="I190" s="133"/>
      <c r="J190" s="74"/>
      <c r="K190" s="133"/>
      <c r="L190" s="181"/>
    </row>
    <row r="191" spans="1:12" ht="14.25" thickBot="1">
      <c r="A191" s="134"/>
      <c r="B191" s="135" t="s">
        <v>61</v>
      </c>
      <c r="C191" s="85">
        <f>SUM(C181+C12)</f>
        <v>77700357</v>
      </c>
      <c r="D191" s="136">
        <f>SUM(D181+D12)</f>
        <v>54136435</v>
      </c>
      <c r="E191" s="137">
        <f>SUM(E181+E12)</f>
        <v>191844</v>
      </c>
      <c r="F191" s="136">
        <f>F12+F181</f>
        <v>1403733</v>
      </c>
      <c r="G191" s="137">
        <f>G12+G181</f>
        <v>3200</v>
      </c>
      <c r="H191" s="136">
        <f>H12+H181</f>
        <v>13815858</v>
      </c>
      <c r="I191" s="137">
        <f>I12+I181</f>
        <v>1507535</v>
      </c>
      <c r="J191" s="136">
        <f>J12+J181</f>
        <v>819878</v>
      </c>
      <c r="K191" s="137">
        <f>K12+K174</f>
        <v>0</v>
      </c>
      <c r="L191" s="138">
        <f>L12+L181</f>
        <v>5821874</v>
      </c>
    </row>
    <row r="192" spans="1:12" ht="13.5" hidden="1" thickBot="1">
      <c r="A192" s="35"/>
      <c r="B192" s="36" t="s">
        <v>143</v>
      </c>
      <c r="C192" s="86">
        <f>D192+E192</f>
        <v>0</v>
      </c>
      <c r="D192" s="87"/>
      <c r="E192" s="88"/>
      <c r="F192" s="89"/>
      <c r="G192" s="88"/>
      <c r="H192" s="89"/>
      <c r="I192" s="88"/>
      <c r="J192" s="89"/>
      <c r="K192" s="45"/>
      <c r="L192" s="90"/>
    </row>
    <row r="193" spans="1:12" ht="12.75">
      <c r="A193" s="20"/>
      <c r="B193" s="21"/>
      <c r="C193" s="22"/>
      <c r="D193" s="22"/>
      <c r="E193" s="23"/>
      <c r="F193" s="24"/>
      <c r="G193" s="23"/>
      <c r="H193" s="24"/>
      <c r="I193" s="23"/>
      <c r="J193" s="24"/>
      <c r="K193" s="25"/>
      <c r="L193" s="24"/>
    </row>
    <row r="194" spans="1:12" ht="20.25">
      <c r="A194" s="4" t="s">
        <v>307</v>
      </c>
      <c r="B194" s="4"/>
      <c r="C194" s="123"/>
      <c r="D194" s="124"/>
      <c r="E194"/>
      <c r="F194"/>
      <c r="G194"/>
      <c r="I194" s="109"/>
      <c r="K194" s="125" t="s">
        <v>308</v>
      </c>
      <c r="L194" s="126"/>
    </row>
  </sheetData>
  <sheetProtection/>
  <mergeCells count="7">
    <mergeCell ref="B9:B10"/>
    <mergeCell ref="A9:A10"/>
    <mergeCell ref="A5:L5"/>
    <mergeCell ref="H1:K1"/>
    <mergeCell ref="H2:K2"/>
    <mergeCell ref="H3:K3"/>
    <mergeCell ref="C9:L9"/>
  </mergeCells>
  <printOptions/>
  <pageMargins left="0.5118110236220472" right="0.5118110236220472" top="0.4724409448818898" bottom="0.3937007874015748" header="1.1023622047244095" footer="0.1968503937007874"/>
  <pageSetup horizontalDpi="600" verticalDpi="600" orientation="landscape" paperSize="9" scale="95" r:id="rId1"/>
  <headerFooter alignWithMargins="0">
    <oddFooter>&amp;C&amp;P</oddFooter>
  </headerFooter>
  <ignoredErrors>
    <ignoredError sqref="D24:E24 D17 D93 F93 L9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9"/>
  <sheetViews>
    <sheetView tabSelected="1" zoomScale="80" zoomScaleNormal="80" zoomScalePageLayoutView="0" workbookViewId="0" topLeftCell="A1">
      <pane xSplit="1" ySplit="6" topLeftCell="B1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V190"/>
    </sheetView>
  </sheetViews>
  <sheetFormatPr defaultColWidth="9.140625" defaultRowHeight="12.75"/>
  <cols>
    <col min="1" max="1" width="3.28125" style="283" customWidth="1"/>
    <col min="2" max="2" width="10.7109375" style="290" customWidth="1"/>
    <col min="3" max="3" width="24.00390625" style="285" customWidth="1"/>
    <col min="4" max="4" width="13.421875" style="286" customWidth="1"/>
    <col min="5" max="5" width="10.8515625" style="283" customWidth="1"/>
    <col min="6" max="6" width="10.28125" style="283" customWidth="1"/>
    <col min="7" max="7" width="12.28125" style="287" customWidth="1"/>
    <col min="8" max="8" width="12.7109375" style="283" customWidth="1"/>
    <col min="9" max="9" width="12.421875" style="283" customWidth="1"/>
    <col min="10" max="10" width="11.57421875" style="283" customWidth="1"/>
    <col min="11" max="14" width="11.140625" style="283" customWidth="1"/>
    <col min="15" max="15" width="11.140625" style="283" bestFit="1" customWidth="1"/>
    <col min="16" max="17" width="10.8515625" style="283" customWidth="1"/>
    <col min="18" max="18" width="11.00390625" style="283" customWidth="1"/>
    <col min="19" max="20" width="12.28125" style="283" customWidth="1"/>
    <col min="21" max="21" width="11.140625" style="283" customWidth="1"/>
    <col min="22" max="22" width="10.8515625" style="283" customWidth="1"/>
    <col min="23" max="23" width="13.57421875" style="283" bestFit="1" customWidth="1"/>
    <col min="24" max="24" width="9.140625" style="289" customWidth="1"/>
    <col min="25" max="16384" width="9.140625" style="283" customWidth="1"/>
  </cols>
  <sheetData>
    <row r="1" spans="2:11" ht="15">
      <c r="B1" s="284"/>
      <c r="K1" s="288" t="s">
        <v>502</v>
      </c>
    </row>
    <row r="2" ht="15">
      <c r="K2" s="288" t="s">
        <v>763</v>
      </c>
    </row>
    <row r="3" ht="15">
      <c r="K3" s="291" t="s">
        <v>768</v>
      </c>
    </row>
    <row r="4" spans="1:22" ht="18" customHeight="1">
      <c r="A4" s="477" t="s">
        <v>503</v>
      </c>
      <c r="B4" s="477"/>
      <c r="C4" s="477"/>
      <c r="D4" s="477"/>
      <c r="E4" s="477"/>
      <c r="F4" s="477"/>
      <c r="G4" s="477"/>
      <c r="H4" s="477"/>
      <c r="I4" s="477"/>
      <c r="J4" s="477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4" s="285" customFormat="1" ht="12.75" customHeight="1">
      <c r="A5" s="478" t="s">
        <v>504</v>
      </c>
      <c r="B5" s="480" t="s">
        <v>505</v>
      </c>
      <c r="C5" s="482" t="s">
        <v>506</v>
      </c>
      <c r="D5" s="293" t="s">
        <v>507</v>
      </c>
      <c r="E5" s="294" t="s">
        <v>508</v>
      </c>
      <c r="F5" s="294" t="s">
        <v>509</v>
      </c>
      <c r="G5" s="295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7" t="s">
        <v>510</v>
      </c>
      <c r="X5" s="298"/>
    </row>
    <row r="6" spans="1:24" s="285" customFormat="1" ht="12.75">
      <c r="A6" s="479"/>
      <c r="B6" s="481"/>
      <c r="C6" s="483"/>
      <c r="D6" s="299" t="s">
        <v>511</v>
      </c>
      <c r="E6" s="300" t="s">
        <v>512</v>
      </c>
      <c r="F6" s="300" t="s">
        <v>513</v>
      </c>
      <c r="G6" s="301">
        <v>2014</v>
      </c>
      <c r="H6" s="300">
        <f>SUM(G6+1)</f>
        <v>2015</v>
      </c>
      <c r="I6" s="300">
        <f aca="true" t="shared" si="0" ref="I6:T6">SUM(H6+1)</f>
        <v>2016</v>
      </c>
      <c r="J6" s="300">
        <f t="shared" si="0"/>
        <v>2017</v>
      </c>
      <c r="K6" s="300">
        <f t="shared" si="0"/>
        <v>2018</v>
      </c>
      <c r="L6" s="300">
        <f t="shared" si="0"/>
        <v>2019</v>
      </c>
      <c r="M6" s="300">
        <f t="shared" si="0"/>
        <v>2020</v>
      </c>
      <c r="N6" s="300">
        <f t="shared" si="0"/>
        <v>2021</v>
      </c>
      <c r="O6" s="300">
        <f t="shared" si="0"/>
        <v>2022</v>
      </c>
      <c r="P6" s="300">
        <f t="shared" si="0"/>
        <v>2023</v>
      </c>
      <c r="Q6" s="300">
        <f t="shared" si="0"/>
        <v>2024</v>
      </c>
      <c r="R6" s="300">
        <f t="shared" si="0"/>
        <v>2025</v>
      </c>
      <c r="S6" s="300">
        <f t="shared" si="0"/>
        <v>2026</v>
      </c>
      <c r="T6" s="300">
        <f t="shared" si="0"/>
        <v>2027</v>
      </c>
      <c r="U6" s="300" t="s">
        <v>514</v>
      </c>
      <c r="V6" s="302" t="s">
        <v>515</v>
      </c>
      <c r="X6" s="298"/>
    </row>
    <row r="7" spans="1:24" s="290" customFormat="1" ht="12.75">
      <c r="A7" s="451">
        <v>1</v>
      </c>
      <c r="B7" s="304" t="s">
        <v>516</v>
      </c>
      <c r="C7" s="466" t="s">
        <v>517</v>
      </c>
      <c r="D7" s="484">
        <v>5443737.54</v>
      </c>
      <c r="E7" s="306" t="s">
        <v>518</v>
      </c>
      <c r="F7" s="304" t="s">
        <v>519</v>
      </c>
      <c r="G7" s="307">
        <v>403133.74</v>
      </c>
      <c r="H7" s="307">
        <v>403133.74</v>
      </c>
      <c r="I7" s="307">
        <v>403133.74</v>
      </c>
      <c r="J7" s="307">
        <v>403133.74</v>
      </c>
      <c r="K7" s="307">
        <v>403133.74</v>
      </c>
      <c r="L7" s="307">
        <v>403133.74</v>
      </c>
      <c r="M7" s="307">
        <v>403133.74</v>
      </c>
      <c r="N7" s="307">
        <v>403133.74</v>
      </c>
      <c r="O7" s="307">
        <v>403133.74</v>
      </c>
      <c r="P7" s="307">
        <v>403133.74</v>
      </c>
      <c r="Q7" s="307">
        <v>403133.74</v>
      </c>
      <c r="R7" s="307">
        <v>403133.74</v>
      </c>
      <c r="S7" s="307">
        <v>403133.74</v>
      </c>
      <c r="T7" s="307">
        <v>201576.05</v>
      </c>
      <c r="U7" s="308"/>
      <c r="V7" s="309">
        <f aca="true" t="shared" si="1" ref="V7:V70">SUM(G7:U7)</f>
        <v>5442314.670000001</v>
      </c>
      <c r="X7" s="310"/>
    </row>
    <row r="8" spans="1:24" s="290" customFormat="1" ht="12.75">
      <c r="A8" s="452"/>
      <c r="B8" s="312" t="s">
        <v>520</v>
      </c>
      <c r="C8" s="467"/>
      <c r="D8" s="485"/>
      <c r="E8" s="314" t="s">
        <v>521</v>
      </c>
      <c r="F8" s="315">
        <v>0.0077</v>
      </c>
      <c r="G8" s="316">
        <v>37024.32</v>
      </c>
      <c r="H8" s="317">
        <v>50974</v>
      </c>
      <c r="I8" s="317">
        <v>47015</v>
      </c>
      <c r="J8" s="317">
        <v>42799</v>
      </c>
      <c r="K8" s="317">
        <v>38712</v>
      </c>
      <c r="L8" s="317">
        <v>34625</v>
      </c>
      <c r="M8" s="317">
        <v>30621</v>
      </c>
      <c r="N8" s="317">
        <v>26450</v>
      </c>
      <c r="O8" s="317">
        <v>22362</v>
      </c>
      <c r="P8" s="317">
        <v>18275</v>
      </c>
      <c r="Q8" s="317">
        <v>14227</v>
      </c>
      <c r="R8" s="317">
        <v>10100</v>
      </c>
      <c r="S8" s="317">
        <v>6013</v>
      </c>
      <c r="T8" s="318">
        <v>1926</v>
      </c>
      <c r="U8" s="318"/>
      <c r="V8" s="319">
        <f t="shared" si="1"/>
        <v>381123.32</v>
      </c>
      <c r="X8" s="310"/>
    </row>
    <row r="9" spans="1:24" ht="12.75">
      <c r="A9" s="451">
        <v>2</v>
      </c>
      <c r="B9" s="304" t="s">
        <v>522</v>
      </c>
      <c r="C9" s="473" t="s">
        <v>523</v>
      </c>
      <c r="D9" s="468">
        <v>836463.65</v>
      </c>
      <c r="E9" s="306" t="s">
        <v>524</v>
      </c>
      <c r="F9" s="304" t="s">
        <v>519</v>
      </c>
      <c r="G9" s="307">
        <v>119492.76</v>
      </c>
      <c r="H9" s="307">
        <v>119507.02</v>
      </c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1"/>
      <c r="U9" s="321"/>
      <c r="V9" s="309">
        <f t="shared" si="1"/>
        <v>238999.78</v>
      </c>
      <c r="X9" s="310"/>
    </row>
    <row r="10" spans="1:24" ht="12.75">
      <c r="A10" s="452"/>
      <c r="B10" s="312" t="s">
        <v>525</v>
      </c>
      <c r="C10" s="474"/>
      <c r="D10" s="469"/>
      <c r="E10" s="314" t="s">
        <v>526</v>
      </c>
      <c r="F10" s="315">
        <v>0.0077</v>
      </c>
      <c r="G10" s="316">
        <v>1473.21</v>
      </c>
      <c r="H10" s="317">
        <v>1025</v>
      </c>
      <c r="I10" s="317">
        <v>67</v>
      </c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3"/>
      <c r="U10" s="323"/>
      <c r="V10" s="319">
        <f t="shared" si="1"/>
        <v>2565.21</v>
      </c>
      <c r="X10" s="310"/>
    </row>
    <row r="11" spans="1:24" ht="12.75">
      <c r="A11" s="451">
        <v>3</v>
      </c>
      <c r="B11" s="304" t="s">
        <v>522</v>
      </c>
      <c r="C11" s="466" t="s">
        <v>527</v>
      </c>
      <c r="D11" s="475">
        <v>392584.56</v>
      </c>
      <c r="E11" s="306" t="s">
        <v>524</v>
      </c>
      <c r="F11" s="304" t="s">
        <v>519</v>
      </c>
      <c r="G11" s="307">
        <v>54369.76</v>
      </c>
      <c r="H11" s="307">
        <v>56081.06</v>
      </c>
      <c r="I11" s="324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1"/>
      <c r="U11" s="321"/>
      <c r="V11" s="309">
        <f t="shared" si="1"/>
        <v>110450.82</v>
      </c>
      <c r="X11" s="310"/>
    </row>
    <row r="12" spans="1:24" ht="12.75">
      <c r="A12" s="452"/>
      <c r="B12" s="312" t="s">
        <v>528</v>
      </c>
      <c r="C12" s="467"/>
      <c r="D12" s="476"/>
      <c r="E12" s="314" t="s">
        <v>526</v>
      </c>
      <c r="F12" s="315">
        <v>0.0077</v>
      </c>
      <c r="G12" s="316">
        <v>685.64</v>
      </c>
      <c r="H12" s="325">
        <v>498</v>
      </c>
      <c r="I12" s="325">
        <v>40</v>
      </c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3"/>
      <c r="U12" s="323"/>
      <c r="V12" s="319">
        <f t="shared" si="1"/>
        <v>1223.6399999999999</v>
      </c>
      <c r="X12" s="310"/>
    </row>
    <row r="13" spans="1:24" ht="12.75">
      <c r="A13" s="451">
        <v>4</v>
      </c>
      <c r="B13" s="304" t="s">
        <v>522</v>
      </c>
      <c r="C13" s="466" t="s">
        <v>529</v>
      </c>
      <c r="D13" s="471">
        <v>177147.54</v>
      </c>
      <c r="E13" s="306" t="s">
        <v>524</v>
      </c>
      <c r="F13" s="304" t="s">
        <v>519</v>
      </c>
      <c r="G13" s="307">
        <v>25304.36</v>
      </c>
      <c r="H13" s="307">
        <v>25321.42</v>
      </c>
      <c r="I13" s="324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1"/>
      <c r="U13" s="321"/>
      <c r="V13" s="309">
        <f t="shared" si="1"/>
        <v>50625.78</v>
      </c>
      <c r="X13" s="310"/>
    </row>
    <row r="14" spans="1:24" ht="12.75">
      <c r="A14" s="452"/>
      <c r="B14" s="312" t="s">
        <v>530</v>
      </c>
      <c r="C14" s="467"/>
      <c r="D14" s="472"/>
      <c r="E14" s="314" t="s">
        <v>526</v>
      </c>
      <c r="F14" s="315">
        <v>0.0077</v>
      </c>
      <c r="G14" s="316">
        <v>322.01</v>
      </c>
      <c r="H14" s="325">
        <v>217</v>
      </c>
      <c r="I14" s="325">
        <v>14</v>
      </c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3"/>
      <c r="U14" s="323"/>
      <c r="V14" s="319">
        <f t="shared" si="1"/>
        <v>553.01</v>
      </c>
      <c r="X14" s="310"/>
    </row>
    <row r="15" spans="1:24" ht="12.75">
      <c r="A15" s="451">
        <v>5</v>
      </c>
      <c r="B15" s="304" t="s">
        <v>522</v>
      </c>
      <c r="C15" s="473" t="s">
        <v>523</v>
      </c>
      <c r="D15" s="475">
        <v>1132852.22</v>
      </c>
      <c r="E15" s="326" t="s">
        <v>531</v>
      </c>
      <c r="F15" s="304" t="s">
        <v>519</v>
      </c>
      <c r="G15" s="307">
        <v>215787.04</v>
      </c>
      <c r="H15" s="307">
        <v>215787.04</v>
      </c>
      <c r="I15" s="307">
        <v>53917</v>
      </c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1"/>
      <c r="U15" s="321"/>
      <c r="V15" s="309">
        <f t="shared" si="1"/>
        <v>485491.08</v>
      </c>
      <c r="X15" s="310"/>
    </row>
    <row r="16" spans="1:24" ht="12.75">
      <c r="A16" s="452"/>
      <c r="B16" s="312" t="s">
        <v>532</v>
      </c>
      <c r="C16" s="474"/>
      <c r="D16" s="476"/>
      <c r="E16" s="314" t="s">
        <v>533</v>
      </c>
      <c r="F16" s="315">
        <v>0.0077</v>
      </c>
      <c r="G16" s="316">
        <v>3050.23</v>
      </c>
      <c r="H16" s="317">
        <v>2397</v>
      </c>
      <c r="I16" s="325">
        <v>379</v>
      </c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3"/>
      <c r="U16" s="323"/>
      <c r="V16" s="319">
        <f t="shared" si="1"/>
        <v>5826.23</v>
      </c>
      <c r="X16" s="310"/>
    </row>
    <row r="17" spans="1:24" ht="12.75">
      <c r="A17" s="451">
        <v>6</v>
      </c>
      <c r="B17" s="304" t="s">
        <v>522</v>
      </c>
      <c r="C17" s="466" t="s">
        <v>534</v>
      </c>
      <c r="D17" s="454">
        <v>72231.67</v>
      </c>
      <c r="E17" s="306" t="s">
        <v>535</v>
      </c>
      <c r="F17" s="304" t="s">
        <v>519</v>
      </c>
      <c r="G17" s="307">
        <v>13762</v>
      </c>
      <c r="H17" s="307">
        <v>13762</v>
      </c>
      <c r="I17" s="307">
        <v>3421.63</v>
      </c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1"/>
      <c r="U17" s="321"/>
      <c r="V17" s="309">
        <f t="shared" si="1"/>
        <v>30945.63</v>
      </c>
      <c r="X17" s="310"/>
    </row>
    <row r="18" spans="1:24" ht="12.75">
      <c r="A18" s="452"/>
      <c r="B18" s="312" t="s">
        <v>536</v>
      </c>
      <c r="C18" s="467"/>
      <c r="D18" s="448"/>
      <c r="E18" s="314" t="s">
        <v>533</v>
      </c>
      <c r="F18" s="315">
        <v>0.0077</v>
      </c>
      <c r="G18" s="316">
        <v>199.78</v>
      </c>
      <c r="H18" s="325">
        <v>153</v>
      </c>
      <c r="I18" s="325">
        <v>24</v>
      </c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3"/>
      <c r="U18" s="323"/>
      <c r="V18" s="319">
        <f t="shared" si="1"/>
        <v>376.78</v>
      </c>
      <c r="X18" s="310"/>
    </row>
    <row r="19" spans="1:24" ht="12.75" customHeight="1">
      <c r="A19" s="451">
        <v>7</v>
      </c>
      <c r="B19" s="304" t="s">
        <v>522</v>
      </c>
      <c r="C19" s="466" t="s">
        <v>537</v>
      </c>
      <c r="D19" s="468">
        <v>139137.57</v>
      </c>
      <c r="E19" s="306" t="s">
        <v>535</v>
      </c>
      <c r="F19" s="304" t="s">
        <v>519</v>
      </c>
      <c r="G19" s="307">
        <v>26505.24</v>
      </c>
      <c r="H19" s="307">
        <v>26505.24</v>
      </c>
      <c r="I19" s="307">
        <v>6611.32</v>
      </c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1"/>
      <c r="U19" s="321"/>
      <c r="V19" s="309">
        <f t="shared" si="1"/>
        <v>59621.8</v>
      </c>
      <c r="X19" s="310"/>
    </row>
    <row r="20" spans="1:24" ht="12.75">
      <c r="A20" s="452"/>
      <c r="B20" s="312" t="s">
        <v>538</v>
      </c>
      <c r="C20" s="467"/>
      <c r="D20" s="469"/>
      <c r="E20" s="314" t="s">
        <v>533</v>
      </c>
      <c r="F20" s="315">
        <v>0.0077</v>
      </c>
      <c r="G20" s="316">
        <v>384.92</v>
      </c>
      <c r="H20" s="325">
        <v>563</v>
      </c>
      <c r="I20" s="325">
        <v>241</v>
      </c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323"/>
      <c r="V20" s="319">
        <f t="shared" si="1"/>
        <v>1188.92</v>
      </c>
      <c r="X20" s="310"/>
    </row>
    <row r="21" spans="1:24" ht="12.75" customHeight="1">
      <c r="A21" s="451">
        <v>8</v>
      </c>
      <c r="B21" s="304" t="s">
        <v>522</v>
      </c>
      <c r="C21" s="466" t="s">
        <v>539</v>
      </c>
      <c r="D21" s="468">
        <v>33984.33</v>
      </c>
      <c r="E21" s="306" t="s">
        <v>535</v>
      </c>
      <c r="F21" s="304" t="s">
        <v>519</v>
      </c>
      <c r="G21" s="307">
        <v>6476.92</v>
      </c>
      <c r="H21" s="307">
        <v>6476.92</v>
      </c>
      <c r="I21" s="307">
        <v>1599.75</v>
      </c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1"/>
      <c r="U21" s="321"/>
      <c r="V21" s="309">
        <f t="shared" si="1"/>
        <v>14553.59</v>
      </c>
      <c r="X21" s="310"/>
    </row>
    <row r="22" spans="1:24" ht="12.75">
      <c r="A22" s="452"/>
      <c r="B22" s="312" t="s">
        <v>540</v>
      </c>
      <c r="C22" s="467"/>
      <c r="D22" s="469"/>
      <c r="E22" s="314" t="s">
        <v>533</v>
      </c>
      <c r="F22" s="315">
        <v>0.0077</v>
      </c>
      <c r="G22" s="316">
        <v>93.95</v>
      </c>
      <c r="H22" s="325">
        <v>72</v>
      </c>
      <c r="I22" s="325">
        <v>11</v>
      </c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3"/>
      <c r="U22" s="323"/>
      <c r="V22" s="319">
        <f t="shared" si="1"/>
        <v>176.95</v>
      </c>
      <c r="X22" s="310"/>
    </row>
    <row r="23" spans="1:24" s="290" customFormat="1" ht="12.75" customHeight="1">
      <c r="A23" s="451">
        <v>9</v>
      </c>
      <c r="B23" s="304" t="s">
        <v>522</v>
      </c>
      <c r="C23" s="466" t="s">
        <v>541</v>
      </c>
      <c r="D23" s="468">
        <v>57932.23</v>
      </c>
      <c r="E23" s="306" t="s">
        <v>535</v>
      </c>
      <c r="F23" s="304" t="s">
        <v>519</v>
      </c>
      <c r="G23" s="307">
        <v>11035.8</v>
      </c>
      <c r="H23" s="307">
        <v>11035.8</v>
      </c>
      <c r="I23" s="307">
        <v>2753.24</v>
      </c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1"/>
      <c r="U23" s="321"/>
      <c r="V23" s="309">
        <f t="shared" si="1"/>
        <v>24824.839999999997</v>
      </c>
      <c r="X23" s="310"/>
    </row>
    <row r="24" spans="1:24" s="290" customFormat="1" ht="12.75">
      <c r="A24" s="452"/>
      <c r="B24" s="312" t="s">
        <v>542</v>
      </c>
      <c r="C24" s="467"/>
      <c r="D24" s="469"/>
      <c r="E24" s="314" t="s">
        <v>533</v>
      </c>
      <c r="F24" s="315">
        <v>0.0077</v>
      </c>
      <c r="G24" s="316">
        <v>155.97</v>
      </c>
      <c r="H24" s="325">
        <v>123</v>
      </c>
      <c r="I24" s="325">
        <v>19</v>
      </c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3"/>
      <c r="U24" s="323"/>
      <c r="V24" s="319">
        <f t="shared" si="1"/>
        <v>297.97</v>
      </c>
      <c r="X24" s="310"/>
    </row>
    <row r="25" spans="1:24" ht="12.75" customHeight="1">
      <c r="A25" s="451">
        <v>10</v>
      </c>
      <c r="B25" s="304" t="s">
        <v>522</v>
      </c>
      <c r="C25" s="466" t="s">
        <v>543</v>
      </c>
      <c r="D25" s="468">
        <v>309065.2</v>
      </c>
      <c r="E25" s="306" t="s">
        <v>544</v>
      </c>
      <c r="F25" s="304" t="s">
        <v>519</v>
      </c>
      <c r="G25" s="307">
        <v>58872.76</v>
      </c>
      <c r="H25" s="307">
        <v>58872.76</v>
      </c>
      <c r="I25" s="307">
        <v>14701.45</v>
      </c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1"/>
      <c r="U25" s="321"/>
      <c r="V25" s="309">
        <f t="shared" si="1"/>
        <v>132446.97</v>
      </c>
      <c r="X25" s="310"/>
    </row>
    <row r="26" spans="1:24" ht="12.75">
      <c r="A26" s="452"/>
      <c r="B26" s="312" t="s">
        <v>545</v>
      </c>
      <c r="C26" s="467"/>
      <c r="D26" s="469"/>
      <c r="E26" s="314" t="s">
        <v>533</v>
      </c>
      <c r="F26" s="315">
        <v>0.0077</v>
      </c>
      <c r="G26" s="316">
        <v>855.12</v>
      </c>
      <c r="H26" s="325">
        <v>654</v>
      </c>
      <c r="I26" s="325">
        <v>103</v>
      </c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3"/>
      <c r="U26" s="323"/>
      <c r="V26" s="319">
        <f t="shared" si="1"/>
        <v>1612.12</v>
      </c>
      <c r="X26" s="310"/>
    </row>
    <row r="27" spans="1:24" ht="12.75" customHeight="1">
      <c r="A27" s="451">
        <v>11</v>
      </c>
      <c r="B27" s="304" t="s">
        <v>522</v>
      </c>
      <c r="C27" s="466" t="s">
        <v>546</v>
      </c>
      <c r="D27" s="468">
        <v>41830.47</v>
      </c>
      <c r="E27" s="306" t="s">
        <v>544</v>
      </c>
      <c r="F27" s="304" t="s">
        <v>519</v>
      </c>
      <c r="G27" s="307">
        <v>7968.08</v>
      </c>
      <c r="H27" s="307">
        <v>7968.08</v>
      </c>
      <c r="I27" s="307">
        <v>1990.06</v>
      </c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1"/>
      <c r="U27" s="321"/>
      <c r="V27" s="309">
        <f t="shared" si="1"/>
        <v>17926.22</v>
      </c>
      <c r="X27" s="310"/>
    </row>
    <row r="28" spans="1:24" ht="12.75">
      <c r="A28" s="452"/>
      <c r="B28" s="312" t="s">
        <v>547</v>
      </c>
      <c r="C28" s="467"/>
      <c r="D28" s="469"/>
      <c r="E28" s="314" t="s">
        <v>533</v>
      </c>
      <c r="F28" s="315">
        <v>0.0077</v>
      </c>
      <c r="G28" s="316">
        <v>115.06</v>
      </c>
      <c r="H28" s="325">
        <v>89</v>
      </c>
      <c r="I28" s="325">
        <v>14</v>
      </c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3"/>
      <c r="U28" s="323"/>
      <c r="V28" s="319">
        <f t="shared" si="1"/>
        <v>218.06</v>
      </c>
      <c r="X28" s="310"/>
    </row>
    <row r="29" spans="1:24" s="290" customFormat="1" ht="12.75" customHeight="1">
      <c r="A29" s="451">
        <v>12</v>
      </c>
      <c r="B29" s="304" t="s">
        <v>522</v>
      </c>
      <c r="C29" s="466" t="s">
        <v>548</v>
      </c>
      <c r="D29" s="468">
        <v>1004220</v>
      </c>
      <c r="E29" s="306" t="s">
        <v>544</v>
      </c>
      <c r="F29" s="304" t="s">
        <v>519</v>
      </c>
      <c r="G29" s="307">
        <v>1420</v>
      </c>
      <c r="H29" s="307">
        <v>85548</v>
      </c>
      <c r="I29" s="307">
        <v>85548</v>
      </c>
      <c r="J29" s="307">
        <v>85548</v>
      </c>
      <c r="K29" s="307">
        <v>111868</v>
      </c>
      <c r="L29" s="307">
        <v>111868</v>
      </c>
      <c r="M29" s="307">
        <v>111868</v>
      </c>
      <c r="N29" s="307">
        <v>26558.73</v>
      </c>
      <c r="O29" s="320"/>
      <c r="P29" s="320"/>
      <c r="Q29" s="320"/>
      <c r="R29" s="320"/>
      <c r="S29" s="320"/>
      <c r="T29" s="321"/>
      <c r="U29" s="321"/>
      <c r="V29" s="309">
        <f t="shared" si="1"/>
        <v>620226.73</v>
      </c>
      <c r="X29" s="310"/>
    </row>
    <row r="30" spans="1:24" s="290" customFormat="1" ht="12.75">
      <c r="A30" s="452"/>
      <c r="B30" s="312" t="s">
        <v>549</v>
      </c>
      <c r="C30" s="467"/>
      <c r="D30" s="469"/>
      <c r="E30" s="314" t="s">
        <v>533</v>
      </c>
      <c r="F30" s="315">
        <v>0.0077</v>
      </c>
      <c r="G30" s="316">
        <v>4284.73</v>
      </c>
      <c r="H30" s="317">
        <v>6093</v>
      </c>
      <c r="I30" s="317">
        <v>5288</v>
      </c>
      <c r="J30" s="317">
        <v>4406</v>
      </c>
      <c r="K30" s="317">
        <v>3482</v>
      </c>
      <c r="L30" s="317">
        <v>2363</v>
      </c>
      <c r="M30" s="325">
        <v>1232</v>
      </c>
      <c r="N30" s="325">
        <v>189</v>
      </c>
      <c r="O30" s="322"/>
      <c r="P30" s="322"/>
      <c r="Q30" s="322"/>
      <c r="R30" s="322"/>
      <c r="S30" s="322"/>
      <c r="T30" s="323"/>
      <c r="U30" s="323"/>
      <c r="V30" s="319">
        <f t="shared" si="1"/>
        <v>27337.73</v>
      </c>
      <c r="X30" s="310"/>
    </row>
    <row r="31" spans="1:24" s="290" customFormat="1" ht="12.75" customHeight="1">
      <c r="A31" s="451">
        <v>13</v>
      </c>
      <c r="B31" s="304" t="s">
        <v>522</v>
      </c>
      <c r="C31" s="466" t="s">
        <v>550</v>
      </c>
      <c r="D31" s="468">
        <v>856134.53</v>
      </c>
      <c r="E31" s="326" t="s">
        <v>551</v>
      </c>
      <c r="F31" s="304" t="s">
        <v>519</v>
      </c>
      <c r="G31" s="307">
        <v>72902.28</v>
      </c>
      <c r="H31" s="307">
        <v>72902.28</v>
      </c>
      <c r="I31" s="307">
        <v>72902.28</v>
      </c>
      <c r="J31" s="307">
        <v>72902.28</v>
      </c>
      <c r="K31" s="307">
        <v>72902.28</v>
      </c>
      <c r="L31" s="307">
        <v>72902.28</v>
      </c>
      <c r="M31" s="307">
        <v>72902.28</v>
      </c>
      <c r="N31" s="307">
        <v>18239.33</v>
      </c>
      <c r="O31" s="320"/>
      <c r="P31" s="320"/>
      <c r="Q31" s="320"/>
      <c r="R31" s="320"/>
      <c r="S31" s="320"/>
      <c r="T31" s="321"/>
      <c r="U31" s="321"/>
      <c r="V31" s="309">
        <f t="shared" si="1"/>
        <v>528555.29</v>
      </c>
      <c r="X31" s="310"/>
    </row>
    <row r="32" spans="1:24" s="290" customFormat="1" ht="12.75">
      <c r="A32" s="452"/>
      <c r="B32" s="312" t="s">
        <v>552</v>
      </c>
      <c r="C32" s="467"/>
      <c r="D32" s="469"/>
      <c r="E32" s="327">
        <v>42389</v>
      </c>
      <c r="F32" s="315">
        <v>0.0077</v>
      </c>
      <c r="G32" s="316">
        <v>3550.14</v>
      </c>
      <c r="H32" s="325">
        <v>4506</v>
      </c>
      <c r="I32" s="325">
        <v>3777</v>
      </c>
      <c r="J32" s="325">
        <v>3028</v>
      </c>
      <c r="K32" s="325">
        <v>2288</v>
      </c>
      <c r="L32" s="325">
        <v>1549</v>
      </c>
      <c r="M32" s="325">
        <v>813</v>
      </c>
      <c r="N32" s="325">
        <v>128</v>
      </c>
      <c r="O32" s="325"/>
      <c r="P32" s="325"/>
      <c r="Q32" s="325"/>
      <c r="R32" s="325"/>
      <c r="S32" s="325"/>
      <c r="T32" s="328"/>
      <c r="U32" s="328"/>
      <c r="V32" s="319">
        <f t="shared" si="1"/>
        <v>19639.14</v>
      </c>
      <c r="X32" s="310"/>
    </row>
    <row r="33" spans="1:24" s="290" customFormat="1" ht="12.75" customHeight="1">
      <c r="A33" s="451">
        <v>14</v>
      </c>
      <c r="B33" s="304" t="s">
        <v>522</v>
      </c>
      <c r="C33" s="466" t="s">
        <v>553</v>
      </c>
      <c r="D33" s="468">
        <v>37946.57</v>
      </c>
      <c r="E33" s="306" t="s">
        <v>544</v>
      </c>
      <c r="F33" s="304" t="s">
        <v>519</v>
      </c>
      <c r="G33" s="307">
        <v>7228.2</v>
      </c>
      <c r="H33" s="307">
        <v>7228.2</v>
      </c>
      <c r="I33" s="307">
        <v>1805.6</v>
      </c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1"/>
      <c r="U33" s="321"/>
      <c r="V33" s="309">
        <f t="shared" si="1"/>
        <v>16262</v>
      </c>
      <c r="X33" s="310"/>
    </row>
    <row r="34" spans="1:24" s="290" customFormat="1" ht="12.75">
      <c r="A34" s="452"/>
      <c r="B34" s="312" t="s">
        <v>554</v>
      </c>
      <c r="C34" s="467"/>
      <c r="D34" s="469"/>
      <c r="E34" s="314" t="s">
        <v>533</v>
      </c>
      <c r="F34" s="315">
        <v>0.0077</v>
      </c>
      <c r="G34" s="316">
        <v>105</v>
      </c>
      <c r="H34" s="322">
        <v>80</v>
      </c>
      <c r="I34" s="322">
        <v>13</v>
      </c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3"/>
      <c r="U34" s="323"/>
      <c r="V34" s="319">
        <f t="shared" si="1"/>
        <v>198</v>
      </c>
      <c r="X34" s="310"/>
    </row>
    <row r="35" spans="1:24" s="290" customFormat="1" ht="12.75">
      <c r="A35" s="451">
        <v>15</v>
      </c>
      <c r="B35" s="304" t="s">
        <v>522</v>
      </c>
      <c r="C35" s="466" t="s">
        <v>555</v>
      </c>
      <c r="D35" s="454">
        <v>2397578.84</v>
      </c>
      <c r="E35" s="326" t="s">
        <v>556</v>
      </c>
      <c r="F35" s="304" t="s">
        <v>519</v>
      </c>
      <c r="G35" s="307">
        <v>1420</v>
      </c>
      <c r="H35" s="329">
        <v>210276</v>
      </c>
      <c r="I35" s="329">
        <v>210276</v>
      </c>
      <c r="J35" s="329">
        <v>210276</v>
      </c>
      <c r="K35" s="307">
        <v>259752</v>
      </c>
      <c r="L35" s="307">
        <v>259752</v>
      </c>
      <c r="M35" s="307">
        <v>259752</v>
      </c>
      <c r="N35" s="307">
        <v>259752</v>
      </c>
      <c r="O35" s="307">
        <v>63549.15</v>
      </c>
      <c r="P35" s="320"/>
      <c r="Q35" s="320"/>
      <c r="R35" s="320"/>
      <c r="S35" s="320"/>
      <c r="T35" s="321"/>
      <c r="U35" s="321"/>
      <c r="V35" s="309">
        <f t="shared" si="1"/>
        <v>1734805.15</v>
      </c>
      <c r="X35" s="310"/>
    </row>
    <row r="36" spans="1:24" s="290" customFormat="1" ht="12.75">
      <c r="A36" s="452"/>
      <c r="B36" s="312" t="s">
        <v>557</v>
      </c>
      <c r="C36" s="467"/>
      <c r="D36" s="448"/>
      <c r="E36" s="314" t="s">
        <v>558</v>
      </c>
      <c r="F36" s="315">
        <v>0.0077</v>
      </c>
      <c r="G36" s="316">
        <v>11915.91</v>
      </c>
      <c r="H36" s="317">
        <v>17129</v>
      </c>
      <c r="I36" s="317">
        <v>15156</v>
      </c>
      <c r="J36" s="317">
        <v>12982</v>
      </c>
      <c r="K36" s="317">
        <v>10745</v>
      </c>
      <c r="L36" s="317">
        <v>8139</v>
      </c>
      <c r="M36" s="317">
        <v>5522</v>
      </c>
      <c r="N36" s="317">
        <v>2872</v>
      </c>
      <c r="O36" s="325">
        <v>448</v>
      </c>
      <c r="P36" s="322"/>
      <c r="Q36" s="322"/>
      <c r="R36" s="322"/>
      <c r="S36" s="322"/>
      <c r="T36" s="323"/>
      <c r="U36" s="323"/>
      <c r="V36" s="319">
        <f t="shared" si="1"/>
        <v>84908.91</v>
      </c>
      <c r="X36" s="310"/>
    </row>
    <row r="37" spans="1:24" s="290" customFormat="1" ht="12.75" customHeight="1">
      <c r="A37" s="451">
        <v>16</v>
      </c>
      <c r="B37" s="304" t="s">
        <v>522</v>
      </c>
      <c r="C37" s="466" t="s">
        <v>559</v>
      </c>
      <c r="D37" s="468">
        <v>384955.12</v>
      </c>
      <c r="E37" s="326" t="s">
        <v>556</v>
      </c>
      <c r="F37" s="304" t="s">
        <v>519</v>
      </c>
      <c r="G37" s="307">
        <v>53500</v>
      </c>
      <c r="H37" s="307">
        <v>53500</v>
      </c>
      <c r="I37" s="307">
        <v>53500</v>
      </c>
      <c r="J37" s="307">
        <v>10455.2</v>
      </c>
      <c r="K37" s="320"/>
      <c r="L37" s="320"/>
      <c r="M37" s="320"/>
      <c r="N37" s="320"/>
      <c r="O37" s="320"/>
      <c r="P37" s="320"/>
      <c r="Q37" s="320"/>
      <c r="R37" s="320"/>
      <c r="S37" s="320"/>
      <c r="T37" s="321"/>
      <c r="U37" s="321"/>
      <c r="V37" s="309">
        <f t="shared" si="1"/>
        <v>170955.2</v>
      </c>
      <c r="X37" s="310"/>
    </row>
    <row r="38" spans="1:24" s="290" customFormat="1" ht="12.75">
      <c r="A38" s="452"/>
      <c r="B38" s="312" t="s">
        <v>560</v>
      </c>
      <c r="C38" s="467"/>
      <c r="D38" s="469"/>
      <c r="E38" s="314" t="s">
        <v>558</v>
      </c>
      <c r="F38" s="315">
        <v>0.0077</v>
      </c>
      <c r="G38" s="316">
        <v>1119.96</v>
      </c>
      <c r="H38" s="317">
        <v>1107</v>
      </c>
      <c r="I38" s="325">
        <v>567</v>
      </c>
      <c r="J38" s="325">
        <v>80</v>
      </c>
      <c r="K38" s="322"/>
      <c r="L38" s="322"/>
      <c r="M38" s="322"/>
      <c r="N38" s="322"/>
      <c r="O38" s="322"/>
      <c r="P38" s="322"/>
      <c r="Q38" s="322"/>
      <c r="R38" s="322"/>
      <c r="S38" s="322"/>
      <c r="T38" s="323"/>
      <c r="U38" s="323"/>
      <c r="V38" s="319">
        <f t="shared" si="1"/>
        <v>2873.96</v>
      </c>
      <c r="X38" s="310"/>
    </row>
    <row r="39" spans="1:24" s="290" customFormat="1" ht="12.75" customHeight="1">
      <c r="A39" s="451">
        <v>17</v>
      </c>
      <c r="B39" s="304" t="s">
        <v>522</v>
      </c>
      <c r="C39" s="466" t="s">
        <v>561</v>
      </c>
      <c r="D39" s="468">
        <v>1547885.33</v>
      </c>
      <c r="E39" s="326" t="s">
        <v>556</v>
      </c>
      <c r="F39" s="304" t="s">
        <v>519</v>
      </c>
      <c r="G39" s="307">
        <v>109840</v>
      </c>
      <c r="H39" s="307">
        <v>109840</v>
      </c>
      <c r="I39" s="307">
        <v>109840</v>
      </c>
      <c r="J39" s="307">
        <v>109840</v>
      </c>
      <c r="K39" s="307">
        <v>109840</v>
      </c>
      <c r="L39" s="307">
        <v>109840</v>
      </c>
      <c r="M39" s="307">
        <v>109840</v>
      </c>
      <c r="N39" s="307">
        <v>109840</v>
      </c>
      <c r="O39" s="307">
        <v>27450.14</v>
      </c>
      <c r="P39" s="320"/>
      <c r="Q39" s="320"/>
      <c r="R39" s="320"/>
      <c r="S39" s="320"/>
      <c r="T39" s="321"/>
      <c r="U39" s="321"/>
      <c r="V39" s="309">
        <f t="shared" si="1"/>
        <v>906170.14</v>
      </c>
      <c r="X39" s="310"/>
    </row>
    <row r="40" spans="1:24" s="290" customFormat="1" ht="12.75">
      <c r="A40" s="452"/>
      <c r="B40" s="312" t="s">
        <v>562</v>
      </c>
      <c r="C40" s="467"/>
      <c r="D40" s="469"/>
      <c r="E40" s="314" t="s">
        <v>558</v>
      </c>
      <c r="F40" s="315">
        <v>0.0077</v>
      </c>
      <c r="G40" s="316">
        <v>6070.82</v>
      </c>
      <c r="H40" s="317">
        <v>7902</v>
      </c>
      <c r="I40" s="317">
        <v>6808</v>
      </c>
      <c r="J40" s="317">
        <v>5675</v>
      </c>
      <c r="K40" s="317">
        <v>4561</v>
      </c>
      <c r="L40" s="317">
        <v>3448</v>
      </c>
      <c r="M40" s="317">
        <v>2341</v>
      </c>
      <c r="N40" s="317">
        <v>1220</v>
      </c>
      <c r="O40" s="325">
        <v>192</v>
      </c>
      <c r="P40" s="325"/>
      <c r="Q40" s="322"/>
      <c r="R40" s="322"/>
      <c r="S40" s="322"/>
      <c r="T40" s="323"/>
      <c r="U40" s="323"/>
      <c r="V40" s="319">
        <f t="shared" si="1"/>
        <v>38217.82</v>
      </c>
      <c r="X40" s="310"/>
    </row>
    <row r="41" spans="1:24" s="290" customFormat="1" ht="12.75" customHeight="1">
      <c r="A41" s="451">
        <v>18</v>
      </c>
      <c r="B41" s="304" t="s">
        <v>522</v>
      </c>
      <c r="C41" s="466" t="s">
        <v>563</v>
      </c>
      <c r="D41" s="468">
        <v>4785648.63</v>
      </c>
      <c r="E41" s="326" t="s">
        <v>556</v>
      </c>
      <c r="F41" s="304" t="s">
        <v>519</v>
      </c>
      <c r="G41" s="307">
        <v>1420</v>
      </c>
      <c r="H41" s="307">
        <v>419852</v>
      </c>
      <c r="I41" s="307">
        <v>419852</v>
      </c>
      <c r="J41" s="307">
        <v>419852</v>
      </c>
      <c r="K41" s="307">
        <v>518640</v>
      </c>
      <c r="L41" s="307">
        <v>518640</v>
      </c>
      <c r="M41" s="307">
        <v>518640</v>
      </c>
      <c r="N41" s="307">
        <v>518640</v>
      </c>
      <c r="O41" s="307">
        <v>128264.72</v>
      </c>
      <c r="P41" s="320"/>
      <c r="Q41" s="320"/>
      <c r="R41" s="320"/>
      <c r="S41" s="320"/>
      <c r="T41" s="321"/>
      <c r="U41" s="321"/>
      <c r="V41" s="309">
        <f t="shared" si="1"/>
        <v>3463800.72</v>
      </c>
      <c r="X41" s="310"/>
    </row>
    <row r="42" spans="1:24" s="290" customFormat="1" ht="12.75">
      <c r="A42" s="452"/>
      <c r="B42" s="312" t="s">
        <v>564</v>
      </c>
      <c r="C42" s="467"/>
      <c r="D42" s="469"/>
      <c r="E42" s="314" t="s">
        <v>558</v>
      </c>
      <c r="F42" s="315">
        <v>0.0077</v>
      </c>
      <c r="G42" s="316">
        <v>23793.42</v>
      </c>
      <c r="H42" s="317">
        <v>34213</v>
      </c>
      <c r="I42" s="317">
        <v>30276</v>
      </c>
      <c r="J42" s="317">
        <v>25935</v>
      </c>
      <c r="K42" s="317">
        <v>21468</v>
      </c>
      <c r="L42" s="317">
        <v>16265</v>
      </c>
      <c r="M42" s="317">
        <v>11039</v>
      </c>
      <c r="N42" s="317">
        <v>5748</v>
      </c>
      <c r="O42" s="325">
        <v>901</v>
      </c>
      <c r="P42" s="322"/>
      <c r="Q42" s="322"/>
      <c r="R42" s="322"/>
      <c r="S42" s="322"/>
      <c r="T42" s="323"/>
      <c r="U42" s="323"/>
      <c r="V42" s="319">
        <f t="shared" si="1"/>
        <v>169638.41999999998</v>
      </c>
      <c r="X42" s="310"/>
    </row>
    <row r="43" spans="1:24" s="290" customFormat="1" ht="12.75" customHeight="1">
      <c r="A43" s="451">
        <v>19</v>
      </c>
      <c r="B43" s="304" t="s">
        <v>522</v>
      </c>
      <c r="C43" s="466" t="s">
        <v>565</v>
      </c>
      <c r="D43" s="468">
        <v>1228934.38</v>
      </c>
      <c r="E43" s="326" t="s">
        <v>556</v>
      </c>
      <c r="F43" s="304" t="s">
        <v>519</v>
      </c>
      <c r="G43" s="307">
        <v>87113.92</v>
      </c>
      <c r="H43" s="307">
        <v>87113.92</v>
      </c>
      <c r="I43" s="307">
        <v>87113.92</v>
      </c>
      <c r="J43" s="307">
        <v>87113.92</v>
      </c>
      <c r="K43" s="307">
        <v>87113.92</v>
      </c>
      <c r="L43" s="307">
        <v>87113.92</v>
      </c>
      <c r="M43" s="307">
        <v>87113.92</v>
      </c>
      <c r="N43" s="307">
        <v>87113.92</v>
      </c>
      <c r="O43" s="307">
        <v>21781.19</v>
      </c>
      <c r="P43" s="307"/>
      <c r="Q43" s="307"/>
      <c r="R43" s="307"/>
      <c r="S43" s="307"/>
      <c r="T43" s="308"/>
      <c r="U43" s="308"/>
      <c r="V43" s="309">
        <f t="shared" si="1"/>
        <v>718692.5499999999</v>
      </c>
      <c r="X43" s="310"/>
    </row>
    <row r="44" spans="1:24" s="290" customFormat="1" ht="12.75">
      <c r="A44" s="452"/>
      <c r="B44" s="312" t="s">
        <v>566</v>
      </c>
      <c r="C44" s="467"/>
      <c r="D44" s="469"/>
      <c r="E44" s="314" t="s">
        <v>558</v>
      </c>
      <c r="F44" s="315">
        <v>0.0077</v>
      </c>
      <c r="G44" s="316">
        <v>4814.95</v>
      </c>
      <c r="H44" s="317">
        <v>6268</v>
      </c>
      <c r="I44" s="317">
        <v>5400</v>
      </c>
      <c r="J44" s="317">
        <v>4500</v>
      </c>
      <c r="K44" s="317">
        <v>3618</v>
      </c>
      <c r="L44" s="317">
        <v>2734</v>
      </c>
      <c r="M44" s="317">
        <v>1856</v>
      </c>
      <c r="N44" s="317">
        <v>968</v>
      </c>
      <c r="O44" s="317">
        <v>152</v>
      </c>
      <c r="P44" s="316"/>
      <c r="Q44" s="330"/>
      <c r="R44" s="330"/>
      <c r="S44" s="330"/>
      <c r="T44" s="331"/>
      <c r="U44" s="331"/>
      <c r="V44" s="319">
        <f t="shared" si="1"/>
        <v>30310.95</v>
      </c>
      <c r="X44" s="310"/>
    </row>
    <row r="45" spans="1:24" s="290" customFormat="1" ht="12.75" customHeight="1">
      <c r="A45" s="451">
        <v>20</v>
      </c>
      <c r="B45" s="304" t="s">
        <v>522</v>
      </c>
      <c r="C45" s="466" t="s">
        <v>567</v>
      </c>
      <c r="D45" s="468">
        <v>754990.52</v>
      </c>
      <c r="E45" s="326" t="s">
        <v>556</v>
      </c>
      <c r="F45" s="304" t="s">
        <v>519</v>
      </c>
      <c r="G45" s="307">
        <v>91342.68</v>
      </c>
      <c r="H45" s="307">
        <v>91342.68</v>
      </c>
      <c r="I45" s="307">
        <v>91342.68</v>
      </c>
      <c r="J45" s="307">
        <v>91342.68</v>
      </c>
      <c r="K45" s="307">
        <v>91342.68</v>
      </c>
      <c r="L45" s="307">
        <v>91342.68</v>
      </c>
      <c r="M45" s="307">
        <v>91342.68</v>
      </c>
      <c r="N45" s="307">
        <v>91342.68</v>
      </c>
      <c r="O45" s="307">
        <v>22826.21</v>
      </c>
      <c r="P45" s="307"/>
      <c r="Q45" s="307"/>
      <c r="R45" s="307"/>
      <c r="S45" s="307"/>
      <c r="T45" s="308"/>
      <c r="U45" s="308"/>
      <c r="V45" s="309">
        <f t="shared" si="1"/>
        <v>753567.6499999999</v>
      </c>
      <c r="X45" s="310"/>
    </row>
    <row r="46" spans="1:24" s="290" customFormat="1" ht="21" customHeight="1">
      <c r="A46" s="452"/>
      <c r="B46" s="312" t="s">
        <v>568</v>
      </c>
      <c r="C46" s="467"/>
      <c r="D46" s="469"/>
      <c r="E46" s="314" t="s">
        <v>558</v>
      </c>
      <c r="F46" s="315">
        <v>0.0077</v>
      </c>
      <c r="G46" s="316">
        <v>5048.55</v>
      </c>
      <c r="H46" s="317">
        <v>6572</v>
      </c>
      <c r="I46" s="317">
        <v>5661</v>
      </c>
      <c r="J46" s="317">
        <v>4719</v>
      </c>
      <c r="K46" s="317">
        <v>3793</v>
      </c>
      <c r="L46" s="317">
        <v>2867</v>
      </c>
      <c r="M46" s="317">
        <v>1947</v>
      </c>
      <c r="N46" s="317">
        <v>1015</v>
      </c>
      <c r="O46" s="317">
        <v>160</v>
      </c>
      <c r="P46" s="330"/>
      <c r="Q46" s="330"/>
      <c r="R46" s="330"/>
      <c r="S46" s="330"/>
      <c r="T46" s="331"/>
      <c r="U46" s="331"/>
      <c r="V46" s="319">
        <f t="shared" si="1"/>
        <v>31782.55</v>
      </c>
      <c r="X46" s="310"/>
    </row>
    <row r="47" spans="1:24" s="290" customFormat="1" ht="12.75" customHeight="1">
      <c r="A47" s="451">
        <v>21</v>
      </c>
      <c r="B47" s="304" t="s">
        <v>522</v>
      </c>
      <c r="C47" s="466" t="s">
        <v>569</v>
      </c>
      <c r="D47" s="468">
        <v>2963664.12</v>
      </c>
      <c r="E47" s="306" t="s">
        <v>570</v>
      </c>
      <c r="F47" s="304" t="s">
        <v>519</v>
      </c>
      <c r="G47" s="307">
        <v>223567.32</v>
      </c>
      <c r="H47" s="307">
        <v>223567.32</v>
      </c>
      <c r="I47" s="307">
        <v>223567.32</v>
      </c>
      <c r="J47" s="307">
        <v>223567.32</v>
      </c>
      <c r="K47" s="307">
        <v>223567.32</v>
      </c>
      <c r="L47" s="307">
        <v>223567.32</v>
      </c>
      <c r="M47" s="307">
        <v>223567.32</v>
      </c>
      <c r="N47" s="307">
        <v>223567.32</v>
      </c>
      <c r="O47" s="307">
        <v>223567.32</v>
      </c>
      <c r="P47" s="307">
        <v>223567.32</v>
      </c>
      <c r="Q47" s="307">
        <v>223567.32</v>
      </c>
      <c r="R47" s="307">
        <v>223567.32</v>
      </c>
      <c r="S47" s="307">
        <v>223567.32</v>
      </c>
      <c r="T47" s="308">
        <v>55866.09</v>
      </c>
      <c r="U47" s="308"/>
      <c r="V47" s="309">
        <f t="shared" si="1"/>
        <v>2962241.2499999995</v>
      </c>
      <c r="X47" s="310"/>
    </row>
    <row r="48" spans="1:24" s="290" customFormat="1" ht="12.75">
      <c r="A48" s="452"/>
      <c r="B48" s="312" t="s">
        <v>571</v>
      </c>
      <c r="C48" s="467"/>
      <c r="D48" s="469"/>
      <c r="E48" s="314" t="s">
        <v>572</v>
      </c>
      <c r="F48" s="315">
        <v>0.0077</v>
      </c>
      <c r="G48" s="316">
        <v>20155.79</v>
      </c>
      <c r="H48" s="317">
        <v>27418</v>
      </c>
      <c r="I48" s="317">
        <v>25221</v>
      </c>
      <c r="J48" s="317">
        <v>22884</v>
      </c>
      <c r="K48" s="317">
        <v>20618</v>
      </c>
      <c r="L48" s="317">
        <v>18351</v>
      </c>
      <c r="M48" s="317">
        <v>16129</v>
      </c>
      <c r="N48" s="317">
        <v>13817</v>
      </c>
      <c r="O48" s="317">
        <v>11551</v>
      </c>
      <c r="P48" s="317">
        <v>9284</v>
      </c>
      <c r="Q48" s="317">
        <v>7037</v>
      </c>
      <c r="R48" s="317">
        <v>4751</v>
      </c>
      <c r="S48" s="317">
        <v>2484</v>
      </c>
      <c r="T48" s="318">
        <v>391</v>
      </c>
      <c r="U48" s="332"/>
      <c r="V48" s="319">
        <f t="shared" si="1"/>
        <v>200091.79</v>
      </c>
      <c r="X48" s="310"/>
    </row>
    <row r="49" spans="1:24" s="290" customFormat="1" ht="12.75" customHeight="1">
      <c r="A49" s="451">
        <v>22</v>
      </c>
      <c r="B49" s="304" t="s">
        <v>522</v>
      </c>
      <c r="C49" s="466" t="s">
        <v>573</v>
      </c>
      <c r="D49" s="468">
        <v>55090.75</v>
      </c>
      <c r="E49" s="306" t="s">
        <v>570</v>
      </c>
      <c r="F49" s="304" t="s">
        <v>519</v>
      </c>
      <c r="G49" s="307">
        <v>5959</v>
      </c>
      <c r="H49" s="307">
        <v>5959</v>
      </c>
      <c r="I49" s="307">
        <v>5959</v>
      </c>
      <c r="J49" s="307">
        <v>5959</v>
      </c>
      <c r="K49" s="307">
        <v>5959</v>
      </c>
      <c r="L49" s="307">
        <v>5959</v>
      </c>
      <c r="M49" s="307">
        <v>5959</v>
      </c>
      <c r="N49" s="307">
        <v>5959</v>
      </c>
      <c r="O49" s="307">
        <v>1459.76</v>
      </c>
      <c r="P49" s="307"/>
      <c r="Q49" s="307"/>
      <c r="R49" s="307"/>
      <c r="S49" s="307"/>
      <c r="T49" s="308"/>
      <c r="U49" s="308"/>
      <c r="V49" s="309">
        <f t="shared" si="1"/>
        <v>49131.76</v>
      </c>
      <c r="X49" s="310"/>
    </row>
    <row r="50" spans="1:24" s="290" customFormat="1" ht="12.75">
      <c r="A50" s="452"/>
      <c r="B50" s="312" t="s">
        <v>574</v>
      </c>
      <c r="C50" s="467"/>
      <c r="D50" s="469"/>
      <c r="E50" s="314" t="s">
        <v>572</v>
      </c>
      <c r="F50" s="315">
        <v>0.0077</v>
      </c>
      <c r="G50" s="316">
        <v>333.42</v>
      </c>
      <c r="H50" s="317">
        <v>428</v>
      </c>
      <c r="I50" s="317">
        <v>369</v>
      </c>
      <c r="J50" s="317">
        <v>308</v>
      </c>
      <c r="K50" s="317">
        <v>247</v>
      </c>
      <c r="L50" s="317">
        <v>187</v>
      </c>
      <c r="M50" s="317">
        <v>127</v>
      </c>
      <c r="N50" s="317">
        <v>66</v>
      </c>
      <c r="O50" s="317">
        <v>10</v>
      </c>
      <c r="P50" s="316"/>
      <c r="Q50" s="316"/>
      <c r="R50" s="316"/>
      <c r="S50" s="316"/>
      <c r="T50" s="332"/>
      <c r="U50" s="332"/>
      <c r="V50" s="319">
        <f t="shared" si="1"/>
        <v>2075.42</v>
      </c>
      <c r="X50" s="310"/>
    </row>
    <row r="51" spans="1:24" s="290" customFormat="1" ht="12.75" customHeight="1">
      <c r="A51" s="451">
        <v>23</v>
      </c>
      <c r="B51" s="304" t="s">
        <v>522</v>
      </c>
      <c r="C51" s="466" t="s">
        <v>575</v>
      </c>
      <c r="D51" s="468">
        <v>4539311.1</v>
      </c>
      <c r="E51" s="306" t="s">
        <v>570</v>
      </c>
      <c r="F51" s="304" t="s">
        <v>519</v>
      </c>
      <c r="G51" s="333">
        <v>1420</v>
      </c>
      <c r="H51" s="307">
        <v>342476</v>
      </c>
      <c r="I51" s="307">
        <v>342476</v>
      </c>
      <c r="J51" s="307">
        <v>342476</v>
      </c>
      <c r="K51" s="307">
        <v>379500</v>
      </c>
      <c r="L51" s="307">
        <v>379500</v>
      </c>
      <c r="M51" s="307">
        <v>379500</v>
      </c>
      <c r="N51" s="307">
        <v>379500</v>
      </c>
      <c r="O51" s="307">
        <v>379500</v>
      </c>
      <c r="P51" s="307">
        <v>379500</v>
      </c>
      <c r="Q51" s="307">
        <v>379500</v>
      </c>
      <c r="R51" s="307">
        <v>379500</v>
      </c>
      <c r="S51" s="307">
        <v>379500</v>
      </c>
      <c r="T51" s="308">
        <v>93540.23</v>
      </c>
      <c r="U51" s="308"/>
      <c r="V51" s="309">
        <f t="shared" si="1"/>
        <v>4537888.23</v>
      </c>
      <c r="X51" s="310"/>
    </row>
    <row r="52" spans="1:24" s="290" customFormat="1" ht="12.75">
      <c r="A52" s="452"/>
      <c r="B52" s="312" t="s">
        <v>576</v>
      </c>
      <c r="C52" s="467"/>
      <c r="D52" s="469"/>
      <c r="E52" s="314" t="s">
        <v>572</v>
      </c>
      <c r="F52" s="315">
        <v>0.0077</v>
      </c>
      <c r="G52" s="316">
        <v>31358.37</v>
      </c>
      <c r="H52" s="317">
        <v>45268</v>
      </c>
      <c r="I52" s="317">
        <v>42104</v>
      </c>
      <c r="J52" s="317">
        <v>38515</v>
      </c>
      <c r="K52" s="317">
        <v>34964</v>
      </c>
      <c r="L52" s="317">
        <v>31137</v>
      </c>
      <c r="M52" s="317">
        <v>27366</v>
      </c>
      <c r="N52" s="317">
        <v>23441</v>
      </c>
      <c r="O52" s="317">
        <v>19594</v>
      </c>
      <c r="P52" s="317">
        <v>15746</v>
      </c>
      <c r="Q52" s="317">
        <v>11932</v>
      </c>
      <c r="R52" s="317">
        <v>8051</v>
      </c>
      <c r="S52" s="317">
        <v>4203</v>
      </c>
      <c r="T52" s="318">
        <v>658</v>
      </c>
      <c r="U52" s="332"/>
      <c r="V52" s="319">
        <f t="shared" si="1"/>
        <v>334337.37</v>
      </c>
      <c r="X52" s="310"/>
    </row>
    <row r="53" spans="1:24" s="290" customFormat="1" ht="12.75" customHeight="1">
      <c r="A53" s="451">
        <v>24</v>
      </c>
      <c r="B53" s="304" t="s">
        <v>522</v>
      </c>
      <c r="C53" s="466" t="s">
        <v>577</v>
      </c>
      <c r="D53" s="468">
        <v>5020748.32</v>
      </c>
      <c r="E53" s="306" t="s">
        <v>570</v>
      </c>
      <c r="F53" s="304" t="s">
        <v>519</v>
      </c>
      <c r="G53" s="307">
        <v>1420</v>
      </c>
      <c r="H53" s="307">
        <v>378816</v>
      </c>
      <c r="I53" s="307">
        <v>378816</v>
      </c>
      <c r="J53" s="307">
        <v>378816</v>
      </c>
      <c r="K53" s="307">
        <v>419772</v>
      </c>
      <c r="L53" s="307">
        <v>419772</v>
      </c>
      <c r="M53" s="307">
        <v>419772</v>
      </c>
      <c r="N53" s="307">
        <v>419772</v>
      </c>
      <c r="O53" s="307">
        <v>419772</v>
      </c>
      <c r="P53" s="307">
        <v>419772</v>
      </c>
      <c r="Q53" s="307">
        <v>419772</v>
      </c>
      <c r="R53" s="307">
        <v>419772</v>
      </c>
      <c r="S53" s="307">
        <v>419772</v>
      </c>
      <c r="T53" s="308">
        <v>103509.44</v>
      </c>
      <c r="U53" s="308"/>
      <c r="V53" s="309">
        <f t="shared" si="1"/>
        <v>5019325.44</v>
      </c>
      <c r="X53" s="310"/>
    </row>
    <row r="54" spans="1:24" s="290" customFormat="1" ht="12.75">
      <c r="A54" s="452"/>
      <c r="B54" s="312" t="s">
        <v>578</v>
      </c>
      <c r="C54" s="467"/>
      <c r="D54" s="469"/>
      <c r="E54" s="314" t="s">
        <v>572</v>
      </c>
      <c r="F54" s="315">
        <v>0.0077</v>
      </c>
      <c r="G54" s="316">
        <v>34685.43</v>
      </c>
      <c r="H54" s="317">
        <v>50072</v>
      </c>
      <c r="I54" s="317">
        <v>46572</v>
      </c>
      <c r="J54" s="317">
        <v>42602</v>
      </c>
      <c r="K54" s="317">
        <v>38674</v>
      </c>
      <c r="L54" s="317">
        <v>34442</v>
      </c>
      <c r="M54" s="317">
        <v>30270</v>
      </c>
      <c r="N54" s="317">
        <v>25929</v>
      </c>
      <c r="O54" s="317">
        <v>21673</v>
      </c>
      <c r="P54" s="317">
        <v>17417</v>
      </c>
      <c r="Q54" s="317">
        <v>13199</v>
      </c>
      <c r="R54" s="317">
        <v>8905</v>
      </c>
      <c r="S54" s="317">
        <v>4649</v>
      </c>
      <c r="T54" s="318">
        <v>728</v>
      </c>
      <c r="U54" s="318"/>
      <c r="V54" s="319">
        <f t="shared" si="1"/>
        <v>369817.43</v>
      </c>
      <c r="X54" s="310"/>
    </row>
    <row r="55" spans="1:24" s="290" customFormat="1" ht="12.75" customHeight="1">
      <c r="A55" s="451">
        <v>25</v>
      </c>
      <c r="B55" s="304" t="s">
        <v>522</v>
      </c>
      <c r="C55" s="466" t="s">
        <v>579</v>
      </c>
      <c r="D55" s="468">
        <v>367297.28</v>
      </c>
      <c r="E55" s="306" t="s">
        <v>570</v>
      </c>
      <c r="F55" s="304" t="s">
        <v>519</v>
      </c>
      <c r="G55" s="307">
        <v>39709.52</v>
      </c>
      <c r="H55" s="307">
        <v>39709.52</v>
      </c>
      <c r="I55" s="307">
        <v>39709.52</v>
      </c>
      <c r="J55" s="307">
        <v>39709.52</v>
      </c>
      <c r="K55" s="307">
        <v>39709.52</v>
      </c>
      <c r="L55" s="307">
        <v>39709.52</v>
      </c>
      <c r="M55" s="307">
        <v>39709.52</v>
      </c>
      <c r="N55" s="307">
        <v>39709.52</v>
      </c>
      <c r="O55" s="307">
        <v>9911.62</v>
      </c>
      <c r="P55" s="307"/>
      <c r="Q55" s="307"/>
      <c r="R55" s="307"/>
      <c r="S55" s="307"/>
      <c r="T55" s="308"/>
      <c r="U55" s="308"/>
      <c r="V55" s="309">
        <f t="shared" si="1"/>
        <v>327587.77999999997</v>
      </c>
      <c r="X55" s="310"/>
    </row>
    <row r="56" spans="1:24" s="290" customFormat="1" ht="12.75">
      <c r="A56" s="452"/>
      <c r="B56" s="312" t="s">
        <v>580</v>
      </c>
      <c r="C56" s="467"/>
      <c r="D56" s="469"/>
      <c r="E56" s="314" t="s">
        <v>572</v>
      </c>
      <c r="F56" s="315">
        <v>0.0077</v>
      </c>
      <c r="G56" s="316">
        <v>2223.23</v>
      </c>
      <c r="H56" s="317">
        <v>2857</v>
      </c>
      <c r="I56" s="317">
        <v>2461</v>
      </c>
      <c r="J56" s="317">
        <v>2052</v>
      </c>
      <c r="K56" s="317">
        <v>1649</v>
      </c>
      <c r="L56" s="317">
        <v>1246</v>
      </c>
      <c r="M56" s="317">
        <v>846</v>
      </c>
      <c r="N56" s="317">
        <v>441</v>
      </c>
      <c r="O56" s="317">
        <v>69</v>
      </c>
      <c r="P56" s="317"/>
      <c r="Q56" s="316"/>
      <c r="R56" s="316"/>
      <c r="S56" s="316"/>
      <c r="T56" s="332"/>
      <c r="U56" s="332"/>
      <c r="V56" s="319">
        <f t="shared" si="1"/>
        <v>13844.23</v>
      </c>
      <c r="X56" s="310"/>
    </row>
    <row r="57" spans="1:24" s="290" customFormat="1" ht="12.75" customHeight="1">
      <c r="A57" s="451">
        <v>26</v>
      </c>
      <c r="B57" s="304" t="s">
        <v>522</v>
      </c>
      <c r="C57" s="466" t="s">
        <v>581</v>
      </c>
      <c r="D57" s="468">
        <v>238543.04</v>
      </c>
      <c r="E57" s="306" t="s">
        <v>582</v>
      </c>
      <c r="F57" s="304" t="s">
        <v>519</v>
      </c>
      <c r="G57" s="307">
        <v>25110.84</v>
      </c>
      <c r="H57" s="307">
        <v>25110.84</v>
      </c>
      <c r="I57" s="307">
        <v>25110.84</v>
      </c>
      <c r="J57" s="307">
        <v>25110.84</v>
      </c>
      <c r="K57" s="307">
        <v>25110.84</v>
      </c>
      <c r="L57" s="307">
        <v>25110.84</v>
      </c>
      <c r="M57" s="307">
        <v>25110.84</v>
      </c>
      <c r="N57" s="307">
        <v>25110.84</v>
      </c>
      <c r="O57" s="307">
        <v>12545.47</v>
      </c>
      <c r="P57" s="307"/>
      <c r="Q57" s="307"/>
      <c r="R57" s="307"/>
      <c r="S57" s="307"/>
      <c r="T57" s="308"/>
      <c r="U57" s="308"/>
      <c r="V57" s="309">
        <f t="shared" si="1"/>
        <v>213432.19</v>
      </c>
      <c r="X57" s="310"/>
    </row>
    <row r="58" spans="1:24" s="290" customFormat="1" ht="12.75">
      <c r="A58" s="452"/>
      <c r="B58" s="312" t="s">
        <v>583</v>
      </c>
      <c r="C58" s="467"/>
      <c r="D58" s="469"/>
      <c r="E58" s="314" t="s">
        <v>584</v>
      </c>
      <c r="F58" s="315">
        <v>0.0077</v>
      </c>
      <c r="G58" s="316">
        <v>1449.29</v>
      </c>
      <c r="H58" s="317">
        <v>1870</v>
      </c>
      <c r="I58" s="317">
        <v>1620</v>
      </c>
      <c r="J58" s="317">
        <v>1361</v>
      </c>
      <c r="K58" s="317">
        <v>1106</v>
      </c>
      <c r="L58" s="317">
        <v>852</v>
      </c>
      <c r="M58" s="317">
        <v>599</v>
      </c>
      <c r="N58" s="317">
        <v>343</v>
      </c>
      <c r="O58" s="317">
        <v>90</v>
      </c>
      <c r="P58" s="316"/>
      <c r="Q58" s="316"/>
      <c r="R58" s="316"/>
      <c r="S58" s="316"/>
      <c r="T58" s="332"/>
      <c r="U58" s="332"/>
      <c r="V58" s="319">
        <f t="shared" si="1"/>
        <v>9290.29</v>
      </c>
      <c r="X58" s="310"/>
    </row>
    <row r="59" spans="1:24" s="290" customFormat="1" ht="12.75" customHeight="1">
      <c r="A59" s="451">
        <v>27</v>
      </c>
      <c r="B59" s="304" t="s">
        <v>522</v>
      </c>
      <c r="C59" s="466" t="s">
        <v>585</v>
      </c>
      <c r="D59" s="468">
        <v>269491.92</v>
      </c>
      <c r="E59" s="306" t="s">
        <v>582</v>
      </c>
      <c r="F59" s="304" t="s">
        <v>519</v>
      </c>
      <c r="G59" s="307">
        <v>28372.08</v>
      </c>
      <c r="H59" s="307">
        <v>28372.08</v>
      </c>
      <c r="I59" s="307">
        <v>28372.08</v>
      </c>
      <c r="J59" s="307">
        <v>28372.08</v>
      </c>
      <c r="K59" s="307">
        <v>28372.08</v>
      </c>
      <c r="L59" s="307">
        <v>28372.08</v>
      </c>
      <c r="M59" s="307">
        <v>28372.08</v>
      </c>
      <c r="N59" s="307">
        <v>28372.08</v>
      </c>
      <c r="O59" s="307">
        <v>14143.21</v>
      </c>
      <c r="P59" s="307"/>
      <c r="Q59" s="307"/>
      <c r="R59" s="307"/>
      <c r="S59" s="307"/>
      <c r="T59" s="308"/>
      <c r="U59" s="308"/>
      <c r="V59" s="309">
        <f t="shared" si="1"/>
        <v>241119.85000000006</v>
      </c>
      <c r="X59" s="310"/>
    </row>
    <row r="60" spans="1:24" s="290" customFormat="1" ht="12.75">
      <c r="A60" s="452"/>
      <c r="B60" s="312" t="s">
        <v>586</v>
      </c>
      <c r="C60" s="467"/>
      <c r="D60" s="469"/>
      <c r="E60" s="314" t="s">
        <v>584</v>
      </c>
      <c r="F60" s="315">
        <v>0.0077</v>
      </c>
      <c r="G60" s="316">
        <v>1637.29</v>
      </c>
      <c r="H60" s="317">
        <v>2113</v>
      </c>
      <c r="I60" s="317">
        <v>1830</v>
      </c>
      <c r="J60" s="317">
        <v>1537</v>
      </c>
      <c r="K60" s="317">
        <v>1250</v>
      </c>
      <c r="L60" s="317">
        <v>962</v>
      </c>
      <c r="M60" s="317">
        <v>676</v>
      </c>
      <c r="N60" s="317">
        <v>387</v>
      </c>
      <c r="O60" s="317">
        <v>101</v>
      </c>
      <c r="P60" s="317"/>
      <c r="Q60" s="316"/>
      <c r="R60" s="316"/>
      <c r="S60" s="316"/>
      <c r="T60" s="332"/>
      <c r="U60" s="332"/>
      <c r="V60" s="319">
        <f t="shared" si="1"/>
        <v>10493.29</v>
      </c>
      <c r="X60" s="310"/>
    </row>
    <row r="61" spans="1:24" s="290" customFormat="1" ht="12.75" customHeight="1">
      <c r="A61" s="451">
        <v>28</v>
      </c>
      <c r="B61" s="304" t="s">
        <v>522</v>
      </c>
      <c r="C61" s="466" t="s">
        <v>587</v>
      </c>
      <c r="D61" s="468">
        <v>87193.58</v>
      </c>
      <c r="E61" s="306" t="s">
        <v>588</v>
      </c>
      <c r="F61" s="304" t="s">
        <v>519</v>
      </c>
      <c r="G61" s="307">
        <v>9180.36</v>
      </c>
      <c r="H61" s="307">
        <v>9180.36</v>
      </c>
      <c r="I61" s="307">
        <v>9180.36</v>
      </c>
      <c r="J61" s="307">
        <v>9180.36</v>
      </c>
      <c r="K61" s="307">
        <v>9180.36</v>
      </c>
      <c r="L61" s="307">
        <v>9180.36</v>
      </c>
      <c r="M61" s="307">
        <v>9180.36</v>
      </c>
      <c r="N61" s="307">
        <v>9180.36</v>
      </c>
      <c r="O61" s="307">
        <v>4570.34</v>
      </c>
      <c r="P61" s="307"/>
      <c r="Q61" s="307"/>
      <c r="R61" s="307"/>
      <c r="S61" s="307"/>
      <c r="T61" s="308"/>
      <c r="U61" s="308"/>
      <c r="V61" s="309">
        <f t="shared" si="1"/>
        <v>78013.22</v>
      </c>
      <c r="X61" s="310"/>
    </row>
    <row r="62" spans="1:24" s="290" customFormat="1" ht="12.75">
      <c r="A62" s="452"/>
      <c r="B62" s="312" t="s">
        <v>589</v>
      </c>
      <c r="C62" s="467"/>
      <c r="D62" s="469"/>
      <c r="E62" s="314" t="s">
        <v>584</v>
      </c>
      <c r="F62" s="315">
        <v>0.0077</v>
      </c>
      <c r="G62" s="316">
        <v>529.73</v>
      </c>
      <c r="H62" s="317">
        <v>684</v>
      </c>
      <c r="I62" s="317">
        <v>592</v>
      </c>
      <c r="J62" s="317">
        <v>497</v>
      </c>
      <c r="K62" s="317">
        <v>404</v>
      </c>
      <c r="L62" s="317">
        <v>311</v>
      </c>
      <c r="M62" s="317">
        <v>219</v>
      </c>
      <c r="N62" s="317">
        <v>125</v>
      </c>
      <c r="O62" s="317">
        <v>33</v>
      </c>
      <c r="P62" s="317"/>
      <c r="Q62" s="316"/>
      <c r="R62" s="316"/>
      <c r="S62" s="316"/>
      <c r="T62" s="332"/>
      <c r="U62" s="332"/>
      <c r="V62" s="319">
        <f t="shared" si="1"/>
        <v>3394.73</v>
      </c>
      <c r="X62" s="310"/>
    </row>
    <row r="63" spans="1:24" s="290" customFormat="1" ht="12.75" customHeight="1">
      <c r="A63" s="451">
        <v>29</v>
      </c>
      <c r="B63" s="304" t="s">
        <v>522</v>
      </c>
      <c r="C63" s="466" t="s">
        <v>590</v>
      </c>
      <c r="D63" s="468">
        <v>876419.31</v>
      </c>
      <c r="E63" s="306" t="s">
        <v>588</v>
      </c>
      <c r="F63" s="304" t="s">
        <v>519</v>
      </c>
      <c r="G63" s="307">
        <v>63636.52</v>
      </c>
      <c r="H63" s="307">
        <v>63636.52</v>
      </c>
      <c r="I63" s="307">
        <v>63636.52</v>
      </c>
      <c r="J63" s="307">
        <v>63636.52</v>
      </c>
      <c r="K63" s="307">
        <v>63636.52</v>
      </c>
      <c r="L63" s="307">
        <v>63636.52</v>
      </c>
      <c r="M63" s="307">
        <v>63636.52</v>
      </c>
      <c r="N63" s="307">
        <v>63636.52</v>
      </c>
      <c r="O63" s="307">
        <v>63636.52</v>
      </c>
      <c r="P63" s="307">
        <v>63636.52</v>
      </c>
      <c r="Q63" s="307">
        <v>63636.52</v>
      </c>
      <c r="R63" s="307">
        <v>63636.52</v>
      </c>
      <c r="S63" s="307">
        <v>63636.52</v>
      </c>
      <c r="T63" s="308">
        <v>47721.68</v>
      </c>
      <c r="U63" s="308"/>
      <c r="V63" s="309">
        <f t="shared" si="1"/>
        <v>874996.4400000002</v>
      </c>
      <c r="X63" s="310"/>
    </row>
    <row r="64" spans="1:24" s="290" customFormat="1" ht="12.75">
      <c r="A64" s="452"/>
      <c r="B64" s="312" t="s">
        <v>591</v>
      </c>
      <c r="C64" s="467"/>
      <c r="D64" s="469"/>
      <c r="E64" s="314" t="s">
        <v>592</v>
      </c>
      <c r="F64" s="315">
        <v>0.0077</v>
      </c>
      <c r="G64" s="316">
        <v>5957.37</v>
      </c>
      <c r="H64" s="317">
        <v>8127</v>
      </c>
      <c r="I64" s="317">
        <v>7502</v>
      </c>
      <c r="J64" s="317">
        <v>6836</v>
      </c>
      <c r="K64" s="317">
        <v>6191</v>
      </c>
      <c r="L64" s="317">
        <v>5546</v>
      </c>
      <c r="M64" s="317">
        <v>4915</v>
      </c>
      <c r="N64" s="317">
        <v>4256</v>
      </c>
      <c r="O64" s="317">
        <v>3610</v>
      </c>
      <c r="P64" s="317">
        <v>2956</v>
      </c>
      <c r="Q64" s="317">
        <v>2327</v>
      </c>
      <c r="R64" s="317">
        <v>1675</v>
      </c>
      <c r="S64" s="317">
        <v>1030</v>
      </c>
      <c r="T64" s="318">
        <v>384</v>
      </c>
      <c r="U64" s="318"/>
      <c r="V64" s="319">
        <f t="shared" si="1"/>
        <v>61312.369999999995</v>
      </c>
      <c r="X64" s="310"/>
    </row>
    <row r="65" spans="1:24" s="334" customFormat="1" ht="12.75" customHeight="1">
      <c r="A65" s="451">
        <v>30</v>
      </c>
      <c r="B65" s="304" t="s">
        <v>522</v>
      </c>
      <c r="C65" s="466" t="s">
        <v>593</v>
      </c>
      <c r="D65" s="468">
        <v>215078.46</v>
      </c>
      <c r="E65" s="306" t="s">
        <v>594</v>
      </c>
      <c r="F65" s="304" t="s">
        <v>519</v>
      </c>
      <c r="G65" s="307">
        <v>20483.68</v>
      </c>
      <c r="H65" s="307">
        <v>20483.68</v>
      </c>
      <c r="I65" s="307">
        <v>20483.68</v>
      </c>
      <c r="J65" s="307">
        <v>20483.68</v>
      </c>
      <c r="K65" s="307">
        <v>20483.68</v>
      </c>
      <c r="L65" s="307">
        <v>20483.68</v>
      </c>
      <c r="M65" s="307">
        <v>20483.68</v>
      </c>
      <c r="N65" s="307">
        <v>20483.68</v>
      </c>
      <c r="O65" s="307">
        <v>20483.68</v>
      </c>
      <c r="P65" s="307">
        <v>10241.67</v>
      </c>
      <c r="Q65" s="307"/>
      <c r="R65" s="307"/>
      <c r="S65" s="307"/>
      <c r="T65" s="308"/>
      <c r="U65" s="308"/>
      <c r="V65" s="309">
        <f t="shared" si="1"/>
        <v>194594.78999999998</v>
      </c>
      <c r="X65" s="310"/>
    </row>
    <row r="66" spans="1:24" s="290" customFormat="1" ht="12.75">
      <c r="A66" s="452"/>
      <c r="B66" s="312" t="s">
        <v>595</v>
      </c>
      <c r="C66" s="470"/>
      <c r="D66" s="469"/>
      <c r="E66" s="314" t="s">
        <v>596</v>
      </c>
      <c r="F66" s="315">
        <v>0.0077</v>
      </c>
      <c r="G66" s="316">
        <v>1315.94</v>
      </c>
      <c r="H66" s="317">
        <v>1733</v>
      </c>
      <c r="I66" s="317">
        <v>1530</v>
      </c>
      <c r="J66" s="317">
        <v>1318</v>
      </c>
      <c r="K66" s="317">
        <v>1110</v>
      </c>
      <c r="L66" s="317">
        <v>903</v>
      </c>
      <c r="M66" s="317">
        <v>697</v>
      </c>
      <c r="N66" s="317">
        <v>487</v>
      </c>
      <c r="O66" s="317">
        <v>280</v>
      </c>
      <c r="P66" s="317">
        <v>73</v>
      </c>
      <c r="Q66" s="317"/>
      <c r="R66" s="316"/>
      <c r="S66" s="316"/>
      <c r="T66" s="332"/>
      <c r="U66" s="332"/>
      <c r="V66" s="319">
        <f t="shared" si="1"/>
        <v>9446.94</v>
      </c>
      <c r="X66" s="310"/>
    </row>
    <row r="67" spans="1:24" s="334" customFormat="1" ht="12.75" customHeight="1">
      <c r="A67" s="451">
        <v>31</v>
      </c>
      <c r="B67" s="304" t="s">
        <v>522</v>
      </c>
      <c r="C67" s="466" t="s">
        <v>597</v>
      </c>
      <c r="D67" s="468">
        <v>64700</v>
      </c>
      <c r="E67" s="306" t="s">
        <v>594</v>
      </c>
      <c r="F67" s="304" t="s">
        <v>519</v>
      </c>
      <c r="G67" s="307">
        <v>6420</v>
      </c>
      <c r="H67" s="307">
        <v>6420</v>
      </c>
      <c r="I67" s="307">
        <v>6420</v>
      </c>
      <c r="J67" s="307">
        <v>6420</v>
      </c>
      <c r="K67" s="307">
        <v>6420</v>
      </c>
      <c r="L67" s="307">
        <v>6420</v>
      </c>
      <c r="M67" s="307">
        <v>6420</v>
      </c>
      <c r="N67" s="307">
        <v>6420</v>
      </c>
      <c r="O67" s="307">
        <v>6420</v>
      </c>
      <c r="P67" s="307">
        <v>3200</v>
      </c>
      <c r="Q67" s="307"/>
      <c r="R67" s="307"/>
      <c r="S67" s="307"/>
      <c r="T67" s="308"/>
      <c r="U67" s="308"/>
      <c r="V67" s="309">
        <f t="shared" si="1"/>
        <v>60980</v>
      </c>
      <c r="X67" s="310"/>
    </row>
    <row r="68" spans="1:24" s="290" customFormat="1" ht="12.75">
      <c r="A68" s="452"/>
      <c r="B68" s="312" t="s">
        <v>598</v>
      </c>
      <c r="C68" s="467"/>
      <c r="D68" s="469"/>
      <c r="E68" s="314" t="s">
        <v>596</v>
      </c>
      <c r="F68" s="315">
        <v>0.0077</v>
      </c>
      <c r="G68" s="316">
        <v>412.38</v>
      </c>
      <c r="H68" s="317">
        <v>543</v>
      </c>
      <c r="I68" s="317">
        <v>479</v>
      </c>
      <c r="J68" s="317">
        <v>413</v>
      </c>
      <c r="K68" s="317">
        <v>348</v>
      </c>
      <c r="L68" s="317">
        <v>283</v>
      </c>
      <c r="M68" s="317">
        <v>218</v>
      </c>
      <c r="N68" s="317">
        <v>153</v>
      </c>
      <c r="O68" s="317">
        <v>88</v>
      </c>
      <c r="P68" s="317">
        <v>23</v>
      </c>
      <c r="Q68" s="316"/>
      <c r="R68" s="316"/>
      <c r="S68" s="316"/>
      <c r="T68" s="332"/>
      <c r="U68" s="332"/>
      <c r="V68" s="319">
        <f t="shared" si="1"/>
        <v>2960.38</v>
      </c>
      <c r="X68" s="310"/>
    </row>
    <row r="69" spans="1:24" s="334" customFormat="1" ht="12.75" customHeight="1">
      <c r="A69" s="451">
        <v>32</v>
      </c>
      <c r="B69" s="304" t="s">
        <v>522</v>
      </c>
      <c r="C69" s="466" t="s">
        <v>599</v>
      </c>
      <c r="D69" s="468">
        <v>241620.71</v>
      </c>
      <c r="E69" s="306" t="s">
        <v>600</v>
      </c>
      <c r="F69" s="304" t="s">
        <v>519</v>
      </c>
      <c r="G69" s="307">
        <v>23016.36</v>
      </c>
      <c r="H69" s="307">
        <v>23016.36</v>
      </c>
      <c r="I69" s="307">
        <v>23016.36</v>
      </c>
      <c r="J69" s="307">
        <v>23016.36</v>
      </c>
      <c r="K69" s="307">
        <v>23016.36</v>
      </c>
      <c r="L69" s="307">
        <v>23016.36</v>
      </c>
      <c r="M69" s="307">
        <v>23016.36</v>
      </c>
      <c r="N69" s="307">
        <v>23016.36</v>
      </c>
      <c r="O69" s="307">
        <v>23016.36</v>
      </c>
      <c r="P69" s="307">
        <v>11457.09</v>
      </c>
      <c r="Q69" s="307"/>
      <c r="R69" s="307"/>
      <c r="S69" s="307"/>
      <c r="T69" s="308"/>
      <c r="U69" s="308"/>
      <c r="V69" s="309">
        <f t="shared" si="1"/>
        <v>218604.33</v>
      </c>
      <c r="X69" s="310"/>
    </row>
    <row r="70" spans="1:24" s="290" customFormat="1" ht="12.75">
      <c r="A70" s="452"/>
      <c r="B70" s="312" t="s">
        <v>601</v>
      </c>
      <c r="C70" s="467"/>
      <c r="D70" s="469"/>
      <c r="E70" s="314" t="s">
        <v>602</v>
      </c>
      <c r="F70" s="315">
        <v>0.0077</v>
      </c>
      <c r="G70" s="316">
        <v>1478.29</v>
      </c>
      <c r="H70" s="317">
        <v>1947</v>
      </c>
      <c r="I70" s="317">
        <v>1719</v>
      </c>
      <c r="J70" s="317">
        <v>1480</v>
      </c>
      <c r="K70" s="317">
        <v>1247</v>
      </c>
      <c r="L70" s="317">
        <v>1014</v>
      </c>
      <c r="M70" s="317">
        <v>783</v>
      </c>
      <c r="N70" s="317">
        <v>547</v>
      </c>
      <c r="O70" s="317">
        <v>314</v>
      </c>
      <c r="P70" s="317">
        <v>82</v>
      </c>
      <c r="Q70" s="317"/>
      <c r="R70" s="316"/>
      <c r="S70" s="316"/>
      <c r="T70" s="332"/>
      <c r="U70" s="332"/>
      <c r="V70" s="319">
        <f t="shared" si="1"/>
        <v>10611.29</v>
      </c>
      <c r="X70" s="310"/>
    </row>
    <row r="71" spans="1:24" s="334" customFormat="1" ht="12.75" customHeight="1">
      <c r="A71" s="451">
        <v>33</v>
      </c>
      <c r="B71" s="304" t="s">
        <v>522</v>
      </c>
      <c r="C71" s="466" t="s">
        <v>603</v>
      </c>
      <c r="D71" s="468">
        <v>993544.59</v>
      </c>
      <c r="E71" s="306" t="s">
        <v>604</v>
      </c>
      <c r="F71" s="304" t="s">
        <v>519</v>
      </c>
      <c r="G71" s="307">
        <v>67262</v>
      </c>
      <c r="H71" s="307">
        <v>67262</v>
      </c>
      <c r="I71" s="307">
        <v>67262</v>
      </c>
      <c r="J71" s="307">
        <v>67262</v>
      </c>
      <c r="K71" s="307">
        <v>67262</v>
      </c>
      <c r="L71" s="307">
        <v>67262</v>
      </c>
      <c r="M71" s="307">
        <v>67262</v>
      </c>
      <c r="N71" s="307">
        <v>67262</v>
      </c>
      <c r="O71" s="307">
        <v>67262</v>
      </c>
      <c r="P71" s="307">
        <v>67262</v>
      </c>
      <c r="Q71" s="307">
        <v>67262</v>
      </c>
      <c r="R71" s="307">
        <v>67262</v>
      </c>
      <c r="S71" s="307">
        <v>67262</v>
      </c>
      <c r="T71" s="307">
        <v>67262</v>
      </c>
      <c r="U71" s="308">
        <v>50453.72</v>
      </c>
      <c r="V71" s="309">
        <f aca="true" t="shared" si="2" ref="V71:V134">SUM(G71:U71)</f>
        <v>992121.72</v>
      </c>
      <c r="X71" s="310"/>
    </row>
    <row r="72" spans="1:24" s="290" customFormat="1" ht="12.75">
      <c r="A72" s="452"/>
      <c r="B72" s="312" t="s">
        <v>605</v>
      </c>
      <c r="C72" s="470"/>
      <c r="D72" s="469"/>
      <c r="E72" s="314" t="s">
        <v>606</v>
      </c>
      <c r="F72" s="315">
        <v>0.0077</v>
      </c>
      <c r="G72" s="316">
        <v>6721.23</v>
      </c>
      <c r="H72" s="317">
        <v>9272</v>
      </c>
      <c r="I72" s="317">
        <v>8614</v>
      </c>
      <c r="J72" s="317">
        <v>7908</v>
      </c>
      <c r="K72" s="317">
        <v>7226</v>
      </c>
      <c r="L72" s="317">
        <v>6544</v>
      </c>
      <c r="M72" s="317">
        <v>5878</v>
      </c>
      <c r="N72" s="317">
        <v>5180</v>
      </c>
      <c r="O72" s="317">
        <v>4498</v>
      </c>
      <c r="P72" s="317">
        <v>3816</v>
      </c>
      <c r="Q72" s="317">
        <v>3143</v>
      </c>
      <c r="R72" s="317">
        <v>2452</v>
      </c>
      <c r="S72" s="317">
        <v>1770</v>
      </c>
      <c r="T72" s="318">
        <v>1088</v>
      </c>
      <c r="U72" s="318">
        <v>408</v>
      </c>
      <c r="V72" s="319">
        <f t="shared" si="2"/>
        <v>74518.23</v>
      </c>
      <c r="X72" s="310"/>
    </row>
    <row r="73" spans="1:24" s="334" customFormat="1" ht="12.75" customHeight="1">
      <c r="A73" s="451">
        <v>34</v>
      </c>
      <c r="B73" s="304" t="s">
        <v>522</v>
      </c>
      <c r="C73" s="466" t="s">
        <v>607</v>
      </c>
      <c r="D73" s="468">
        <v>337718.84</v>
      </c>
      <c r="E73" s="306" t="s">
        <v>608</v>
      </c>
      <c r="F73" s="304" t="s">
        <v>519</v>
      </c>
      <c r="G73" s="307">
        <v>31417</v>
      </c>
      <c r="H73" s="307">
        <v>31417</v>
      </c>
      <c r="I73" s="307">
        <v>31417</v>
      </c>
      <c r="J73" s="307">
        <v>31417</v>
      </c>
      <c r="K73" s="307">
        <v>31417</v>
      </c>
      <c r="L73" s="307">
        <v>31417</v>
      </c>
      <c r="M73" s="307">
        <v>31417</v>
      </c>
      <c r="N73" s="307">
        <v>31417</v>
      </c>
      <c r="O73" s="307">
        <v>31417</v>
      </c>
      <c r="P73" s="307">
        <v>23548.83</v>
      </c>
      <c r="Q73" s="307"/>
      <c r="R73" s="307"/>
      <c r="S73" s="307"/>
      <c r="T73" s="308"/>
      <c r="U73" s="308"/>
      <c r="V73" s="309">
        <f t="shared" si="2"/>
        <v>306301.83</v>
      </c>
      <c r="X73" s="310"/>
    </row>
    <row r="74" spans="1:24" s="290" customFormat="1" ht="12.75">
      <c r="A74" s="452"/>
      <c r="B74" s="312" t="s">
        <v>609</v>
      </c>
      <c r="C74" s="467"/>
      <c r="D74" s="469"/>
      <c r="E74" s="314" t="s">
        <v>606</v>
      </c>
      <c r="F74" s="315">
        <v>0.0077</v>
      </c>
      <c r="G74" s="316">
        <v>2072.2</v>
      </c>
      <c r="H74" s="317">
        <v>2738</v>
      </c>
      <c r="I74" s="317">
        <v>2426</v>
      </c>
      <c r="J74" s="317">
        <v>2101</v>
      </c>
      <c r="K74" s="317">
        <v>1782</v>
      </c>
      <c r="L74" s="317">
        <v>1464</v>
      </c>
      <c r="M74" s="317">
        <v>1149</v>
      </c>
      <c r="N74" s="317">
        <v>827</v>
      </c>
      <c r="O74" s="317">
        <v>508</v>
      </c>
      <c r="P74" s="317">
        <v>190</v>
      </c>
      <c r="Q74" s="316"/>
      <c r="R74" s="316"/>
      <c r="S74" s="316"/>
      <c r="T74" s="332"/>
      <c r="U74" s="332"/>
      <c r="V74" s="319">
        <f t="shared" si="2"/>
        <v>15257.2</v>
      </c>
      <c r="X74" s="310"/>
    </row>
    <row r="75" spans="1:24" s="334" customFormat="1" ht="12.75" customHeight="1">
      <c r="A75" s="451">
        <v>35</v>
      </c>
      <c r="B75" s="304" t="s">
        <v>522</v>
      </c>
      <c r="C75" s="466" t="s">
        <v>610</v>
      </c>
      <c r="D75" s="468">
        <v>452006.32</v>
      </c>
      <c r="E75" s="306" t="s">
        <v>608</v>
      </c>
      <c r="F75" s="304" t="s">
        <v>519</v>
      </c>
      <c r="G75" s="307">
        <v>42048.72</v>
      </c>
      <c r="H75" s="307">
        <v>42048.72</v>
      </c>
      <c r="I75" s="307">
        <v>42048.72</v>
      </c>
      <c r="J75" s="307">
        <v>42048.72</v>
      </c>
      <c r="K75" s="307">
        <v>42048.72</v>
      </c>
      <c r="L75" s="307">
        <v>42048.72</v>
      </c>
      <c r="M75" s="307">
        <v>42048.72</v>
      </c>
      <c r="N75" s="307">
        <v>42048.72</v>
      </c>
      <c r="O75" s="307">
        <v>42048.72</v>
      </c>
      <c r="P75" s="307">
        <v>31519.13</v>
      </c>
      <c r="Q75" s="307"/>
      <c r="R75" s="307"/>
      <c r="S75" s="307"/>
      <c r="T75" s="308"/>
      <c r="U75" s="308"/>
      <c r="V75" s="309">
        <f t="shared" si="2"/>
        <v>409957.61</v>
      </c>
      <c r="X75" s="310"/>
    </row>
    <row r="76" spans="1:24" s="290" customFormat="1" ht="12.75">
      <c r="A76" s="452"/>
      <c r="B76" s="312" t="s">
        <v>611</v>
      </c>
      <c r="C76" s="467"/>
      <c r="D76" s="469"/>
      <c r="E76" s="314" t="s">
        <v>596</v>
      </c>
      <c r="F76" s="315">
        <v>0.0077</v>
      </c>
      <c r="G76" s="316">
        <v>2773.45</v>
      </c>
      <c r="H76" s="317">
        <v>3665</v>
      </c>
      <c r="I76" s="317">
        <v>3247</v>
      </c>
      <c r="J76" s="317">
        <v>2812</v>
      </c>
      <c r="K76" s="317">
        <v>2386</v>
      </c>
      <c r="L76" s="317">
        <v>1959</v>
      </c>
      <c r="M76" s="317">
        <v>1537</v>
      </c>
      <c r="N76" s="317">
        <v>1107</v>
      </c>
      <c r="O76" s="317">
        <v>680</v>
      </c>
      <c r="P76" s="317">
        <v>254</v>
      </c>
      <c r="Q76" s="317"/>
      <c r="R76" s="316"/>
      <c r="S76" s="316"/>
      <c r="T76" s="332"/>
      <c r="U76" s="332"/>
      <c r="V76" s="319">
        <f t="shared" si="2"/>
        <v>20420.45</v>
      </c>
      <c r="X76" s="310"/>
    </row>
    <row r="77" spans="1:24" s="334" customFormat="1" ht="12.75" customHeight="1">
      <c r="A77" s="451">
        <v>36</v>
      </c>
      <c r="B77" s="304" t="s">
        <v>522</v>
      </c>
      <c r="C77" s="466" t="s">
        <v>612</v>
      </c>
      <c r="D77" s="468">
        <v>403086.24</v>
      </c>
      <c r="E77" s="306" t="s">
        <v>613</v>
      </c>
      <c r="F77" s="304" t="s">
        <v>519</v>
      </c>
      <c r="G77" s="307">
        <v>38394.76</v>
      </c>
      <c r="H77" s="307">
        <v>38394.76</v>
      </c>
      <c r="I77" s="307">
        <v>38394.76</v>
      </c>
      <c r="J77" s="307">
        <v>38394.76</v>
      </c>
      <c r="K77" s="307">
        <v>38394.76</v>
      </c>
      <c r="L77" s="307">
        <v>38394.76</v>
      </c>
      <c r="M77" s="307">
        <v>38394.76</v>
      </c>
      <c r="N77" s="307">
        <v>38394.76</v>
      </c>
      <c r="O77" s="307">
        <v>38394.76</v>
      </c>
      <c r="P77" s="307">
        <v>19138.62</v>
      </c>
      <c r="Q77" s="307"/>
      <c r="R77" s="307"/>
      <c r="S77" s="307"/>
      <c r="T77" s="308"/>
      <c r="U77" s="308"/>
      <c r="V77" s="309">
        <f t="shared" si="2"/>
        <v>364691.46</v>
      </c>
      <c r="X77" s="310"/>
    </row>
    <row r="78" spans="1:24" s="290" customFormat="1" ht="12.75">
      <c r="A78" s="452"/>
      <c r="B78" s="312" t="s">
        <v>614</v>
      </c>
      <c r="C78" s="467"/>
      <c r="D78" s="469"/>
      <c r="E78" s="314" t="s">
        <v>596</v>
      </c>
      <c r="F78" s="315">
        <v>0.0077</v>
      </c>
      <c r="G78" s="316">
        <v>2466.2</v>
      </c>
      <c r="H78" s="317">
        <v>3248</v>
      </c>
      <c r="I78" s="317">
        <v>2867</v>
      </c>
      <c r="J78" s="317">
        <v>2470</v>
      </c>
      <c r="K78" s="317">
        <v>2080</v>
      </c>
      <c r="L78" s="317">
        <v>1691</v>
      </c>
      <c r="M78" s="317">
        <v>1306</v>
      </c>
      <c r="N78" s="317">
        <v>913</v>
      </c>
      <c r="O78" s="317">
        <v>523</v>
      </c>
      <c r="P78" s="317">
        <v>137</v>
      </c>
      <c r="Q78" s="316"/>
      <c r="R78" s="316"/>
      <c r="S78" s="316"/>
      <c r="T78" s="332"/>
      <c r="U78" s="332"/>
      <c r="V78" s="319">
        <f t="shared" si="2"/>
        <v>17701.2</v>
      </c>
      <c r="X78" s="310"/>
    </row>
    <row r="79" spans="1:24" s="334" customFormat="1" ht="12.75" customHeight="1">
      <c r="A79" s="451">
        <v>37</v>
      </c>
      <c r="B79" s="304" t="s">
        <v>522</v>
      </c>
      <c r="C79" s="466" t="s">
        <v>615</v>
      </c>
      <c r="D79" s="468">
        <v>359487.14</v>
      </c>
      <c r="E79" s="306" t="s">
        <v>616</v>
      </c>
      <c r="F79" s="304" t="s">
        <v>519</v>
      </c>
      <c r="G79" s="307">
        <v>34240</v>
      </c>
      <c r="H79" s="307">
        <v>34240</v>
      </c>
      <c r="I79" s="307">
        <v>34240</v>
      </c>
      <c r="J79" s="307">
        <v>34240</v>
      </c>
      <c r="K79" s="307">
        <v>34240</v>
      </c>
      <c r="L79" s="307">
        <v>34240</v>
      </c>
      <c r="M79" s="307">
        <v>34240</v>
      </c>
      <c r="N79" s="307">
        <v>34240</v>
      </c>
      <c r="O79" s="307">
        <v>34240</v>
      </c>
      <c r="P79" s="307">
        <v>17087.15</v>
      </c>
      <c r="Q79" s="307"/>
      <c r="R79" s="307"/>
      <c r="S79" s="307"/>
      <c r="T79" s="308"/>
      <c r="U79" s="308"/>
      <c r="V79" s="309">
        <f t="shared" si="2"/>
        <v>325247.15</v>
      </c>
      <c r="X79" s="310"/>
    </row>
    <row r="80" spans="1:24" s="290" customFormat="1" ht="12.75">
      <c r="A80" s="452"/>
      <c r="B80" s="312" t="s">
        <v>617</v>
      </c>
      <c r="C80" s="467"/>
      <c r="D80" s="469"/>
      <c r="E80" s="314" t="s">
        <v>596</v>
      </c>
      <c r="F80" s="315">
        <v>0.0077</v>
      </c>
      <c r="G80" s="316">
        <v>2199.47</v>
      </c>
      <c r="H80" s="317">
        <v>2897</v>
      </c>
      <c r="I80" s="317">
        <v>2557</v>
      </c>
      <c r="J80" s="317">
        <v>2203</v>
      </c>
      <c r="K80" s="317">
        <v>1856</v>
      </c>
      <c r="L80" s="317">
        <v>1508</v>
      </c>
      <c r="M80" s="317">
        <v>1165</v>
      </c>
      <c r="N80" s="317">
        <v>814</v>
      </c>
      <c r="O80" s="317">
        <v>467</v>
      </c>
      <c r="P80" s="317">
        <v>122</v>
      </c>
      <c r="Q80" s="316"/>
      <c r="R80" s="316"/>
      <c r="S80" s="316"/>
      <c r="T80" s="332"/>
      <c r="U80" s="332"/>
      <c r="V80" s="319">
        <f t="shared" si="2"/>
        <v>15788.47</v>
      </c>
      <c r="X80" s="310"/>
    </row>
    <row r="81" spans="1:24" s="290" customFormat="1" ht="12.75" customHeight="1">
      <c r="A81" s="451">
        <v>38</v>
      </c>
      <c r="B81" s="304" t="s">
        <v>522</v>
      </c>
      <c r="C81" s="466" t="s">
        <v>599</v>
      </c>
      <c r="D81" s="468">
        <v>250209.16</v>
      </c>
      <c r="E81" s="306" t="s">
        <v>618</v>
      </c>
      <c r="F81" s="304" t="s">
        <v>519</v>
      </c>
      <c r="G81" s="307">
        <v>22242.32</v>
      </c>
      <c r="H81" s="307">
        <v>22242.32</v>
      </c>
      <c r="I81" s="307">
        <v>22242.32</v>
      </c>
      <c r="J81" s="307">
        <v>22242.32</v>
      </c>
      <c r="K81" s="307">
        <v>22242.32</v>
      </c>
      <c r="L81" s="307">
        <v>22242.32</v>
      </c>
      <c r="M81" s="307">
        <v>22242.32</v>
      </c>
      <c r="N81" s="307">
        <v>22242.32</v>
      </c>
      <c r="O81" s="307">
        <v>22242.32</v>
      </c>
      <c r="P81" s="307">
        <v>22242.32</v>
      </c>
      <c r="Q81" s="307">
        <v>5543.63</v>
      </c>
      <c r="R81" s="335"/>
      <c r="S81" s="335"/>
      <c r="T81" s="336"/>
      <c r="U81" s="336"/>
      <c r="V81" s="309">
        <f t="shared" si="2"/>
        <v>227966.83000000005</v>
      </c>
      <c r="X81" s="310"/>
    </row>
    <row r="82" spans="1:24" s="290" customFormat="1" ht="12.75">
      <c r="A82" s="452"/>
      <c r="B82" s="312" t="s">
        <v>619</v>
      </c>
      <c r="C82" s="467"/>
      <c r="D82" s="469"/>
      <c r="E82" s="314" t="s">
        <v>620</v>
      </c>
      <c r="F82" s="315">
        <v>0.00669</v>
      </c>
      <c r="G82" s="316">
        <v>1469.33</v>
      </c>
      <c r="H82" s="317">
        <v>2051</v>
      </c>
      <c r="I82" s="317">
        <v>1831</v>
      </c>
      <c r="J82" s="317">
        <v>1600</v>
      </c>
      <c r="K82" s="317">
        <v>1375</v>
      </c>
      <c r="L82" s="317">
        <v>1149</v>
      </c>
      <c r="M82" s="317">
        <v>926</v>
      </c>
      <c r="N82" s="317">
        <v>698</v>
      </c>
      <c r="O82" s="317">
        <v>472</v>
      </c>
      <c r="P82" s="317">
        <v>247</v>
      </c>
      <c r="Q82" s="317">
        <v>39</v>
      </c>
      <c r="R82" s="316"/>
      <c r="S82" s="316"/>
      <c r="T82" s="332"/>
      <c r="U82" s="332"/>
      <c r="V82" s="319">
        <f t="shared" si="2"/>
        <v>11857.33</v>
      </c>
      <c r="X82" s="310"/>
    </row>
    <row r="83" spans="1:24" s="290" customFormat="1" ht="12.75" customHeight="1">
      <c r="A83" s="451">
        <v>39</v>
      </c>
      <c r="B83" s="304" t="s">
        <v>522</v>
      </c>
      <c r="C83" s="466" t="s">
        <v>593</v>
      </c>
      <c r="D83" s="468">
        <v>76266.03</v>
      </c>
      <c r="E83" s="306" t="s">
        <v>618</v>
      </c>
      <c r="F83" s="304" t="s">
        <v>519</v>
      </c>
      <c r="G83" s="307">
        <v>6784.24</v>
      </c>
      <c r="H83" s="307">
        <v>6784.24</v>
      </c>
      <c r="I83" s="307">
        <v>6784.24</v>
      </c>
      <c r="J83" s="307">
        <v>6784.24</v>
      </c>
      <c r="K83" s="307">
        <v>6784.24</v>
      </c>
      <c r="L83" s="307">
        <v>6784.24</v>
      </c>
      <c r="M83" s="307">
        <v>6784.24</v>
      </c>
      <c r="N83" s="307">
        <v>6784.24</v>
      </c>
      <c r="O83" s="307">
        <v>6784.24</v>
      </c>
      <c r="P83" s="307">
        <v>6784.24</v>
      </c>
      <c r="Q83" s="307">
        <v>1639.38</v>
      </c>
      <c r="R83" s="335"/>
      <c r="S83" s="335"/>
      <c r="T83" s="336"/>
      <c r="U83" s="336"/>
      <c r="V83" s="309">
        <f t="shared" si="2"/>
        <v>69481.78</v>
      </c>
      <c r="X83" s="310"/>
    </row>
    <row r="84" spans="1:24" s="290" customFormat="1" ht="12.75">
      <c r="A84" s="452"/>
      <c r="B84" s="312" t="s">
        <v>621</v>
      </c>
      <c r="C84" s="467"/>
      <c r="D84" s="469"/>
      <c r="E84" s="314" t="s">
        <v>620</v>
      </c>
      <c r="F84" s="315">
        <v>0.00669</v>
      </c>
      <c r="G84" s="316">
        <v>447.82</v>
      </c>
      <c r="H84" s="317">
        <v>625</v>
      </c>
      <c r="I84" s="317">
        <v>558</v>
      </c>
      <c r="J84" s="317">
        <v>488</v>
      </c>
      <c r="K84" s="317">
        <v>419</v>
      </c>
      <c r="L84" s="317">
        <v>350</v>
      </c>
      <c r="M84" s="317">
        <v>282</v>
      </c>
      <c r="N84" s="317">
        <v>212</v>
      </c>
      <c r="O84" s="317">
        <v>144</v>
      </c>
      <c r="P84" s="317">
        <v>75</v>
      </c>
      <c r="Q84" s="317">
        <v>12</v>
      </c>
      <c r="R84" s="316"/>
      <c r="S84" s="316"/>
      <c r="T84" s="332"/>
      <c r="U84" s="332"/>
      <c r="V84" s="319">
        <f t="shared" si="2"/>
        <v>3612.8199999999997</v>
      </c>
      <c r="X84" s="310"/>
    </row>
    <row r="85" spans="1:24" s="290" customFormat="1" ht="12.75" customHeight="1">
      <c r="A85" s="451">
        <v>40</v>
      </c>
      <c r="B85" s="304" t="s">
        <v>522</v>
      </c>
      <c r="C85" s="466" t="s">
        <v>622</v>
      </c>
      <c r="D85" s="468">
        <v>158629.16</v>
      </c>
      <c r="E85" s="306" t="s">
        <v>623</v>
      </c>
      <c r="F85" s="304" t="s">
        <v>519</v>
      </c>
      <c r="G85" s="307">
        <v>14103.52</v>
      </c>
      <c r="H85" s="307">
        <v>14103.52</v>
      </c>
      <c r="I85" s="307">
        <v>14103.52</v>
      </c>
      <c r="J85" s="307">
        <v>14103.52</v>
      </c>
      <c r="K85" s="307">
        <v>14103.52</v>
      </c>
      <c r="L85" s="307">
        <v>14103.52</v>
      </c>
      <c r="M85" s="307">
        <v>14103.52</v>
      </c>
      <c r="N85" s="307">
        <v>14103.52</v>
      </c>
      <c r="O85" s="307">
        <v>14103.52</v>
      </c>
      <c r="P85" s="307">
        <v>14103.52</v>
      </c>
      <c r="Q85" s="307">
        <v>3490.46</v>
      </c>
      <c r="R85" s="335"/>
      <c r="S85" s="335"/>
      <c r="T85" s="336"/>
      <c r="U85" s="336"/>
      <c r="V85" s="309">
        <f t="shared" si="2"/>
        <v>144525.66</v>
      </c>
      <c r="X85" s="310"/>
    </row>
    <row r="86" spans="1:24" s="290" customFormat="1" ht="12.75">
      <c r="A86" s="452"/>
      <c r="B86" s="312" t="s">
        <v>624</v>
      </c>
      <c r="C86" s="467"/>
      <c r="D86" s="469"/>
      <c r="E86" s="314" t="s">
        <v>620</v>
      </c>
      <c r="F86" s="315">
        <v>0.00548</v>
      </c>
      <c r="G86" s="316">
        <v>751.78</v>
      </c>
      <c r="H86" s="317">
        <v>1300</v>
      </c>
      <c r="I86" s="317">
        <v>1161</v>
      </c>
      <c r="J86" s="317">
        <v>1014</v>
      </c>
      <c r="K86" s="317">
        <v>871</v>
      </c>
      <c r="L86" s="317">
        <v>728</v>
      </c>
      <c r="M86" s="317">
        <v>587</v>
      </c>
      <c r="N86" s="317">
        <v>442</v>
      </c>
      <c r="O86" s="317">
        <v>299</v>
      </c>
      <c r="P86" s="317">
        <v>156</v>
      </c>
      <c r="Q86" s="317">
        <v>25</v>
      </c>
      <c r="R86" s="316"/>
      <c r="S86" s="316"/>
      <c r="T86" s="332"/>
      <c r="U86" s="332"/>
      <c r="V86" s="319">
        <f t="shared" si="2"/>
        <v>7334.78</v>
      </c>
      <c r="X86" s="310"/>
    </row>
    <row r="87" spans="1:24" s="290" customFormat="1" ht="12.75" customHeight="1">
      <c r="A87" s="451">
        <v>41</v>
      </c>
      <c r="B87" s="304" t="s">
        <v>522</v>
      </c>
      <c r="C87" s="466" t="s">
        <v>625</v>
      </c>
      <c r="D87" s="468">
        <v>107926.42</v>
      </c>
      <c r="E87" s="306" t="s">
        <v>626</v>
      </c>
      <c r="F87" s="304" t="s">
        <v>519</v>
      </c>
      <c r="G87" s="307">
        <v>9595.84</v>
      </c>
      <c r="H87" s="307">
        <v>9595.84</v>
      </c>
      <c r="I87" s="307">
        <v>9595.84</v>
      </c>
      <c r="J87" s="307">
        <v>9595.84</v>
      </c>
      <c r="K87" s="307">
        <v>9595.84</v>
      </c>
      <c r="L87" s="307">
        <v>9595.84</v>
      </c>
      <c r="M87" s="307">
        <v>9595.84</v>
      </c>
      <c r="N87" s="307">
        <v>9595.84</v>
      </c>
      <c r="O87" s="307">
        <v>9595.84</v>
      </c>
      <c r="P87" s="307">
        <v>9595.84</v>
      </c>
      <c r="Q87" s="307">
        <v>2372.17</v>
      </c>
      <c r="R87" s="335"/>
      <c r="S87" s="335"/>
      <c r="T87" s="336"/>
      <c r="U87" s="336"/>
      <c r="V87" s="309">
        <f t="shared" si="2"/>
        <v>98330.56999999998</v>
      </c>
      <c r="X87" s="310"/>
    </row>
    <row r="88" spans="1:24" s="290" customFormat="1" ht="12.75">
      <c r="A88" s="452"/>
      <c r="B88" s="312" t="s">
        <v>627</v>
      </c>
      <c r="C88" s="467"/>
      <c r="D88" s="469"/>
      <c r="E88" s="314" t="s">
        <v>620</v>
      </c>
      <c r="F88" s="315">
        <v>0.00548</v>
      </c>
      <c r="G88" s="316">
        <v>511.49</v>
      </c>
      <c r="H88" s="317">
        <v>885</v>
      </c>
      <c r="I88" s="317">
        <v>790</v>
      </c>
      <c r="J88" s="317">
        <v>690</v>
      </c>
      <c r="K88" s="317">
        <v>593</v>
      </c>
      <c r="L88" s="317">
        <v>496</v>
      </c>
      <c r="M88" s="317">
        <v>399</v>
      </c>
      <c r="N88" s="317">
        <v>301</v>
      </c>
      <c r="O88" s="317">
        <v>204</v>
      </c>
      <c r="P88" s="317">
        <v>106</v>
      </c>
      <c r="Q88" s="317">
        <v>17</v>
      </c>
      <c r="R88" s="316"/>
      <c r="S88" s="316"/>
      <c r="T88" s="332"/>
      <c r="U88" s="332"/>
      <c r="V88" s="319">
        <f t="shared" si="2"/>
        <v>4992.49</v>
      </c>
      <c r="X88" s="310"/>
    </row>
    <row r="89" spans="1:24" s="290" customFormat="1" ht="12.75" customHeight="1">
      <c r="A89" s="451">
        <v>42</v>
      </c>
      <c r="B89" s="304" t="s">
        <v>522</v>
      </c>
      <c r="C89" s="466" t="s">
        <v>628</v>
      </c>
      <c r="D89" s="468">
        <v>296887.89</v>
      </c>
      <c r="E89" s="326" t="s">
        <v>629</v>
      </c>
      <c r="F89" s="304" t="s">
        <v>519</v>
      </c>
      <c r="G89" s="307">
        <v>26391.44</v>
      </c>
      <c r="H89" s="307">
        <v>26391.44</v>
      </c>
      <c r="I89" s="307">
        <v>26391.44</v>
      </c>
      <c r="J89" s="307">
        <v>26391.44</v>
      </c>
      <c r="K89" s="307">
        <v>26391.44</v>
      </c>
      <c r="L89" s="307">
        <v>26391.44</v>
      </c>
      <c r="M89" s="307">
        <v>26391.44</v>
      </c>
      <c r="N89" s="307">
        <v>26391.44</v>
      </c>
      <c r="O89" s="307">
        <v>26391.44</v>
      </c>
      <c r="P89" s="307">
        <v>26391.44</v>
      </c>
      <c r="Q89" s="307">
        <v>6582.07</v>
      </c>
      <c r="R89" s="335"/>
      <c r="S89" s="335"/>
      <c r="T89" s="336"/>
      <c r="U89" s="336"/>
      <c r="V89" s="309">
        <f t="shared" si="2"/>
        <v>270496.47</v>
      </c>
      <c r="X89" s="310"/>
    </row>
    <row r="90" spans="1:24" s="290" customFormat="1" ht="12.75">
      <c r="A90" s="452"/>
      <c r="B90" s="312" t="s">
        <v>630</v>
      </c>
      <c r="C90" s="467"/>
      <c r="D90" s="469"/>
      <c r="E90" s="327">
        <v>45371</v>
      </c>
      <c r="F90" s="315">
        <v>0.00548</v>
      </c>
      <c r="G90" s="316">
        <v>1407.05</v>
      </c>
      <c r="H90" s="317">
        <v>2434</v>
      </c>
      <c r="I90" s="317">
        <v>2172</v>
      </c>
      <c r="J90" s="317">
        <v>1899</v>
      </c>
      <c r="K90" s="317">
        <v>1631</v>
      </c>
      <c r="L90" s="317">
        <v>1363</v>
      </c>
      <c r="M90" s="317">
        <v>1099</v>
      </c>
      <c r="N90" s="317">
        <v>828</v>
      </c>
      <c r="O90" s="317">
        <v>561</v>
      </c>
      <c r="P90" s="317">
        <v>239</v>
      </c>
      <c r="Q90" s="317">
        <v>46</v>
      </c>
      <c r="R90" s="316"/>
      <c r="S90" s="316"/>
      <c r="T90" s="332"/>
      <c r="U90" s="332"/>
      <c r="V90" s="319">
        <f t="shared" si="2"/>
        <v>13679.05</v>
      </c>
      <c r="X90" s="310"/>
    </row>
    <row r="91" spans="1:24" s="290" customFormat="1" ht="12.75" customHeight="1">
      <c r="A91" s="451">
        <v>43</v>
      </c>
      <c r="B91" s="304" t="s">
        <v>522</v>
      </c>
      <c r="C91" s="466" t="s">
        <v>612</v>
      </c>
      <c r="D91" s="468">
        <v>369101.98</v>
      </c>
      <c r="E91" s="326" t="s">
        <v>631</v>
      </c>
      <c r="F91" s="304" t="s">
        <v>519</v>
      </c>
      <c r="G91" s="307">
        <v>32811.44</v>
      </c>
      <c r="H91" s="307">
        <v>32811.44</v>
      </c>
      <c r="I91" s="307">
        <v>32811.44</v>
      </c>
      <c r="J91" s="307">
        <v>32811.44</v>
      </c>
      <c r="K91" s="307">
        <v>32811.44</v>
      </c>
      <c r="L91" s="307">
        <v>32811.44</v>
      </c>
      <c r="M91" s="307">
        <v>32811.44</v>
      </c>
      <c r="N91" s="307">
        <v>32811.44</v>
      </c>
      <c r="O91" s="307">
        <v>32811.44</v>
      </c>
      <c r="P91" s="307">
        <v>32811.44</v>
      </c>
      <c r="Q91" s="307">
        <v>8176.16</v>
      </c>
      <c r="R91" s="335"/>
      <c r="S91" s="335"/>
      <c r="T91" s="336"/>
      <c r="U91" s="336"/>
      <c r="V91" s="309">
        <f t="shared" si="2"/>
        <v>336290.56</v>
      </c>
      <c r="X91" s="310"/>
    </row>
    <row r="92" spans="1:24" s="290" customFormat="1" ht="12.75">
      <c r="A92" s="452"/>
      <c r="B92" s="312" t="s">
        <v>632</v>
      </c>
      <c r="C92" s="467"/>
      <c r="D92" s="469"/>
      <c r="E92" s="327">
        <v>45371</v>
      </c>
      <c r="F92" s="315">
        <v>0.00548</v>
      </c>
      <c r="G92" s="316">
        <v>1749.32</v>
      </c>
      <c r="H92" s="317">
        <v>3026</v>
      </c>
      <c r="I92" s="317">
        <v>2701</v>
      </c>
      <c r="J92" s="317">
        <v>2360</v>
      </c>
      <c r="K92" s="317">
        <v>2028</v>
      </c>
      <c r="L92" s="317">
        <v>1695</v>
      </c>
      <c r="M92" s="317">
        <v>1366</v>
      </c>
      <c r="N92" s="317">
        <v>1030</v>
      </c>
      <c r="O92" s="317">
        <v>697</v>
      </c>
      <c r="P92" s="317">
        <v>364</v>
      </c>
      <c r="Q92" s="317">
        <v>58</v>
      </c>
      <c r="R92" s="316"/>
      <c r="S92" s="316"/>
      <c r="T92" s="332"/>
      <c r="U92" s="332"/>
      <c r="V92" s="319">
        <f t="shared" si="2"/>
        <v>17074.32</v>
      </c>
      <c r="X92" s="310"/>
    </row>
    <row r="93" spans="1:24" s="290" customFormat="1" ht="12.75" customHeight="1">
      <c r="A93" s="451">
        <v>44</v>
      </c>
      <c r="B93" s="304" t="s">
        <v>522</v>
      </c>
      <c r="C93" s="466" t="s">
        <v>633</v>
      </c>
      <c r="D93" s="468">
        <v>560799.54</v>
      </c>
      <c r="E93" s="326" t="s">
        <v>631</v>
      </c>
      <c r="F93" s="304" t="s">
        <v>519</v>
      </c>
      <c r="G93" s="307">
        <v>49851.72</v>
      </c>
      <c r="H93" s="307">
        <v>49851.72</v>
      </c>
      <c r="I93" s="307">
        <v>49851.72</v>
      </c>
      <c r="J93" s="307">
        <v>49851.72</v>
      </c>
      <c r="K93" s="307">
        <v>49851.72</v>
      </c>
      <c r="L93" s="307">
        <v>49851.72</v>
      </c>
      <c r="M93" s="307">
        <v>49851.72</v>
      </c>
      <c r="N93" s="307">
        <v>49851.72</v>
      </c>
      <c r="O93" s="307">
        <v>49851.72</v>
      </c>
      <c r="P93" s="307">
        <v>49851.72</v>
      </c>
      <c r="Q93" s="307">
        <v>12430.6</v>
      </c>
      <c r="R93" s="335"/>
      <c r="S93" s="335"/>
      <c r="T93" s="336"/>
      <c r="U93" s="336"/>
      <c r="V93" s="309">
        <f t="shared" si="2"/>
        <v>510947.79999999993</v>
      </c>
      <c r="X93" s="310"/>
    </row>
    <row r="94" spans="1:24" s="290" customFormat="1" ht="12.75">
      <c r="A94" s="452"/>
      <c r="B94" s="312" t="s">
        <v>634</v>
      </c>
      <c r="C94" s="467"/>
      <c r="D94" s="469"/>
      <c r="E94" s="327">
        <v>45371</v>
      </c>
      <c r="F94" s="315">
        <v>0.00548</v>
      </c>
      <c r="G94" s="316">
        <v>2657.84</v>
      </c>
      <c r="H94" s="317">
        <v>4597</v>
      </c>
      <c r="I94" s="317">
        <v>4103</v>
      </c>
      <c r="J94" s="317">
        <v>3586</v>
      </c>
      <c r="K94" s="317">
        <v>3081</v>
      </c>
      <c r="L94" s="317">
        <v>2575</v>
      </c>
      <c r="M94" s="317">
        <v>2076</v>
      </c>
      <c r="N94" s="317">
        <v>1564</v>
      </c>
      <c r="O94" s="317">
        <v>1059</v>
      </c>
      <c r="P94" s="317">
        <v>554</v>
      </c>
      <c r="Q94" s="317">
        <v>87</v>
      </c>
      <c r="R94" s="316"/>
      <c r="S94" s="316"/>
      <c r="T94" s="332"/>
      <c r="U94" s="332"/>
      <c r="V94" s="319">
        <f t="shared" si="2"/>
        <v>25939.84</v>
      </c>
      <c r="X94" s="310"/>
    </row>
    <row r="95" spans="1:24" s="290" customFormat="1" ht="12.75" customHeight="1">
      <c r="A95" s="451">
        <v>45</v>
      </c>
      <c r="B95" s="304" t="s">
        <v>522</v>
      </c>
      <c r="C95" s="466" t="s">
        <v>635</v>
      </c>
      <c r="D95" s="468">
        <v>33093.08</v>
      </c>
      <c r="E95" s="306" t="s">
        <v>636</v>
      </c>
      <c r="F95" s="304" t="s">
        <v>519</v>
      </c>
      <c r="G95" s="307">
        <v>3153.08</v>
      </c>
      <c r="H95" s="307">
        <v>3153.08</v>
      </c>
      <c r="I95" s="307">
        <v>3153.08</v>
      </c>
      <c r="J95" s="307">
        <v>3153.08</v>
      </c>
      <c r="K95" s="307">
        <v>3153.08</v>
      </c>
      <c r="L95" s="307">
        <v>3153.08</v>
      </c>
      <c r="M95" s="307">
        <v>3153.08</v>
      </c>
      <c r="N95" s="307">
        <v>3153.08</v>
      </c>
      <c r="O95" s="307">
        <v>3153.08</v>
      </c>
      <c r="P95" s="307">
        <v>3153.08</v>
      </c>
      <c r="Q95" s="307">
        <v>1562.28</v>
      </c>
      <c r="R95" s="335"/>
      <c r="S95" s="335"/>
      <c r="T95" s="336"/>
      <c r="U95" s="336"/>
      <c r="V95" s="309">
        <f t="shared" si="2"/>
        <v>33093.08</v>
      </c>
      <c r="X95" s="310"/>
    </row>
    <row r="96" spans="1:24" s="290" customFormat="1" ht="12.75">
      <c r="A96" s="452"/>
      <c r="B96" s="312" t="s">
        <v>637</v>
      </c>
      <c r="C96" s="467"/>
      <c r="D96" s="469"/>
      <c r="E96" s="314" t="s">
        <v>638</v>
      </c>
      <c r="F96" s="315">
        <v>0.0115</v>
      </c>
      <c r="G96" s="316">
        <v>204.86</v>
      </c>
      <c r="H96" s="317">
        <v>299</v>
      </c>
      <c r="I96" s="317">
        <v>267</v>
      </c>
      <c r="J96" s="317">
        <v>235</v>
      </c>
      <c r="K96" s="317">
        <v>203</v>
      </c>
      <c r="L96" s="317">
        <v>171</v>
      </c>
      <c r="M96" s="317">
        <v>129</v>
      </c>
      <c r="N96" s="317">
        <v>107</v>
      </c>
      <c r="O96" s="317">
        <v>75</v>
      </c>
      <c r="P96" s="317">
        <v>43</v>
      </c>
      <c r="Q96" s="317">
        <v>11</v>
      </c>
      <c r="R96" s="316"/>
      <c r="S96" s="316"/>
      <c r="T96" s="332"/>
      <c r="U96" s="332"/>
      <c r="V96" s="319">
        <f t="shared" si="2"/>
        <v>1744.8600000000001</v>
      </c>
      <c r="X96" s="310"/>
    </row>
    <row r="97" spans="1:24" s="290" customFormat="1" ht="12.75" customHeight="1">
      <c r="A97" s="451">
        <v>46</v>
      </c>
      <c r="B97" s="304" t="s">
        <v>522</v>
      </c>
      <c r="C97" s="466" t="s">
        <v>639</v>
      </c>
      <c r="D97" s="468">
        <v>313031.8</v>
      </c>
      <c r="E97" s="306" t="s">
        <v>636</v>
      </c>
      <c r="F97" s="337" t="s">
        <v>519</v>
      </c>
      <c r="G97" s="307">
        <v>27825.68</v>
      </c>
      <c r="H97" s="307">
        <v>27825.68</v>
      </c>
      <c r="I97" s="307">
        <v>27825.68</v>
      </c>
      <c r="J97" s="307">
        <v>27825.68</v>
      </c>
      <c r="K97" s="307">
        <v>27825.68</v>
      </c>
      <c r="L97" s="307">
        <v>27825.68</v>
      </c>
      <c r="M97" s="307">
        <v>27825.68</v>
      </c>
      <c r="N97" s="307">
        <v>27825.68</v>
      </c>
      <c r="O97" s="307">
        <v>27825.68</v>
      </c>
      <c r="P97" s="307">
        <v>27825.68</v>
      </c>
      <c r="Q97" s="335">
        <v>20862.16</v>
      </c>
      <c r="R97" s="335"/>
      <c r="S97" s="335"/>
      <c r="T97" s="336"/>
      <c r="U97" s="336"/>
      <c r="V97" s="309">
        <f t="shared" si="2"/>
        <v>299118.95999999996</v>
      </c>
      <c r="X97" s="310"/>
    </row>
    <row r="98" spans="1:24" s="290" customFormat="1" ht="12.75">
      <c r="A98" s="452"/>
      <c r="B98" s="312" t="s">
        <v>640</v>
      </c>
      <c r="C98" s="467"/>
      <c r="D98" s="469"/>
      <c r="E98" s="314" t="s">
        <v>641</v>
      </c>
      <c r="F98" s="315">
        <v>0.0077</v>
      </c>
      <c r="G98" s="316">
        <v>2026.51</v>
      </c>
      <c r="H98" s="317">
        <v>2707</v>
      </c>
      <c r="I98" s="317">
        <v>2432</v>
      </c>
      <c r="J98" s="317">
        <v>2143</v>
      </c>
      <c r="K98" s="317">
        <v>1861</v>
      </c>
      <c r="L98" s="317">
        <v>1579</v>
      </c>
      <c r="M98" s="317">
        <v>1300</v>
      </c>
      <c r="N98" s="317">
        <v>1014</v>
      </c>
      <c r="O98" s="317">
        <v>732</v>
      </c>
      <c r="P98" s="317">
        <v>450</v>
      </c>
      <c r="Q98" s="317">
        <v>169</v>
      </c>
      <c r="R98" s="316"/>
      <c r="S98" s="316"/>
      <c r="T98" s="332"/>
      <c r="U98" s="332"/>
      <c r="V98" s="319">
        <f t="shared" si="2"/>
        <v>16413.510000000002</v>
      </c>
      <c r="X98" s="310"/>
    </row>
    <row r="99" spans="1:24" s="290" customFormat="1" ht="12.75">
      <c r="A99" s="451">
        <v>47</v>
      </c>
      <c r="B99" s="304" t="s">
        <v>522</v>
      </c>
      <c r="C99" s="466" t="s">
        <v>633</v>
      </c>
      <c r="D99" s="468">
        <v>3304011.86</v>
      </c>
      <c r="E99" s="306" t="s">
        <v>642</v>
      </c>
      <c r="F99" s="337" t="s">
        <v>519</v>
      </c>
      <c r="G99" s="307">
        <v>209685.76</v>
      </c>
      <c r="H99" s="307">
        <v>209685.76</v>
      </c>
      <c r="I99" s="307">
        <v>209685.76</v>
      </c>
      <c r="J99" s="307">
        <v>209685.76</v>
      </c>
      <c r="K99" s="307">
        <v>209685.76</v>
      </c>
      <c r="L99" s="307">
        <v>209685.76</v>
      </c>
      <c r="M99" s="307">
        <v>209685.76</v>
      </c>
      <c r="N99" s="307">
        <v>209685.76</v>
      </c>
      <c r="O99" s="307">
        <v>209685.76</v>
      </c>
      <c r="P99" s="307">
        <v>209685.76</v>
      </c>
      <c r="Q99" s="307">
        <v>209685.76</v>
      </c>
      <c r="R99" s="307">
        <v>209685.76</v>
      </c>
      <c r="S99" s="307">
        <v>209685.76</v>
      </c>
      <c r="T99" s="307">
        <v>209685.76</v>
      </c>
      <c r="U99" s="308">
        <v>366988.35</v>
      </c>
      <c r="V99" s="309">
        <f t="shared" si="2"/>
        <v>3302588.9899999998</v>
      </c>
      <c r="X99" s="310"/>
    </row>
    <row r="100" spans="1:24" s="290" customFormat="1" ht="12.75">
      <c r="A100" s="452"/>
      <c r="B100" s="312" t="s">
        <v>643</v>
      </c>
      <c r="C100" s="467"/>
      <c r="D100" s="469"/>
      <c r="E100" s="314" t="s">
        <v>641</v>
      </c>
      <c r="F100" s="315">
        <v>0.0077</v>
      </c>
      <c r="G100" s="316">
        <v>22393.36</v>
      </c>
      <c r="H100" s="317">
        <v>31031</v>
      </c>
      <c r="I100" s="317">
        <v>28985</v>
      </c>
      <c r="J100" s="317">
        <v>26779</v>
      </c>
      <c r="K100" s="317">
        <v>24653</v>
      </c>
      <c r="L100" s="317">
        <v>22527</v>
      </c>
      <c r="M100" s="317">
        <v>20458</v>
      </c>
      <c r="N100" s="317">
        <v>18275</v>
      </c>
      <c r="O100" s="317">
        <v>16149</v>
      </c>
      <c r="P100" s="317">
        <v>14023</v>
      </c>
      <c r="Q100" s="317">
        <v>11931</v>
      </c>
      <c r="R100" s="317">
        <v>9771</v>
      </c>
      <c r="S100" s="317">
        <v>7645</v>
      </c>
      <c r="T100" s="318">
        <v>5519</v>
      </c>
      <c r="U100" s="318">
        <f>3403+1267</f>
        <v>4670</v>
      </c>
      <c r="V100" s="319">
        <f t="shared" si="2"/>
        <v>264809.36</v>
      </c>
      <c r="X100" s="310"/>
    </row>
    <row r="101" spans="1:24" s="290" customFormat="1" ht="12.75" customHeight="1">
      <c r="A101" s="451">
        <v>48</v>
      </c>
      <c r="B101" s="304" t="s">
        <v>522</v>
      </c>
      <c r="C101" s="466" t="s">
        <v>597</v>
      </c>
      <c r="D101" s="468">
        <v>115461.78</v>
      </c>
      <c r="E101" s="455" t="s">
        <v>644</v>
      </c>
      <c r="F101" s="337" t="s">
        <v>519</v>
      </c>
      <c r="G101" s="307">
        <v>10267.44</v>
      </c>
      <c r="H101" s="307">
        <v>10267.44</v>
      </c>
      <c r="I101" s="307">
        <v>10267.44</v>
      </c>
      <c r="J101" s="307">
        <v>10267.44</v>
      </c>
      <c r="K101" s="307">
        <v>10267.44</v>
      </c>
      <c r="L101" s="307">
        <v>10267.44</v>
      </c>
      <c r="M101" s="307">
        <v>10267.44</v>
      </c>
      <c r="N101" s="307">
        <v>10267.44</v>
      </c>
      <c r="O101" s="307">
        <v>10267.44</v>
      </c>
      <c r="P101" s="307">
        <v>10267.44</v>
      </c>
      <c r="Q101" s="307">
        <v>2519.94</v>
      </c>
      <c r="R101" s="335"/>
      <c r="S101" s="335"/>
      <c r="T101" s="336"/>
      <c r="U101" s="336"/>
      <c r="V101" s="309">
        <f t="shared" si="2"/>
        <v>105194.34000000001</v>
      </c>
      <c r="X101" s="310"/>
    </row>
    <row r="102" spans="1:24" s="290" customFormat="1" ht="12.75">
      <c r="A102" s="452"/>
      <c r="B102" s="312" t="s">
        <v>645</v>
      </c>
      <c r="C102" s="467"/>
      <c r="D102" s="469"/>
      <c r="E102" s="456"/>
      <c r="F102" s="315">
        <v>0.00548</v>
      </c>
      <c r="G102" s="316">
        <v>555.84</v>
      </c>
      <c r="H102" s="317">
        <v>946</v>
      </c>
      <c r="I102" s="317">
        <v>845</v>
      </c>
      <c r="J102" s="317">
        <v>738</v>
      </c>
      <c r="K102" s="317">
        <v>634</v>
      </c>
      <c r="L102" s="317">
        <v>530</v>
      </c>
      <c r="M102" s="317">
        <v>427</v>
      </c>
      <c r="N102" s="317">
        <v>322</v>
      </c>
      <c r="O102" s="317">
        <v>218</v>
      </c>
      <c r="P102" s="317">
        <v>114</v>
      </c>
      <c r="Q102" s="317">
        <v>18</v>
      </c>
      <c r="R102" s="316"/>
      <c r="S102" s="316"/>
      <c r="T102" s="332"/>
      <c r="U102" s="332"/>
      <c r="V102" s="319">
        <f t="shared" si="2"/>
        <v>5347.84</v>
      </c>
      <c r="X102" s="310"/>
    </row>
    <row r="103" spans="1:24" s="290" customFormat="1" ht="12.75" customHeight="1">
      <c r="A103" s="451">
        <v>49</v>
      </c>
      <c r="B103" s="304" t="s">
        <v>522</v>
      </c>
      <c r="C103" s="466" t="s">
        <v>615</v>
      </c>
      <c r="D103" s="468">
        <v>779949.97</v>
      </c>
      <c r="E103" s="455" t="s">
        <v>646</v>
      </c>
      <c r="F103" s="337" t="s">
        <v>519</v>
      </c>
      <c r="G103" s="307">
        <v>51052.64</v>
      </c>
      <c r="H103" s="307">
        <v>51052.64</v>
      </c>
      <c r="I103" s="307">
        <v>51052.64</v>
      </c>
      <c r="J103" s="307">
        <v>51052.64</v>
      </c>
      <c r="K103" s="307">
        <v>51052.64</v>
      </c>
      <c r="L103" s="307">
        <v>51052.64</v>
      </c>
      <c r="M103" s="307">
        <v>51052.64</v>
      </c>
      <c r="N103" s="307">
        <v>51052.64</v>
      </c>
      <c r="O103" s="307">
        <v>51052.64</v>
      </c>
      <c r="P103" s="307">
        <v>51052.64</v>
      </c>
      <c r="Q103" s="307">
        <v>51052.64</v>
      </c>
      <c r="R103" s="307">
        <v>51052.64</v>
      </c>
      <c r="S103" s="307">
        <v>51052.64</v>
      </c>
      <c r="T103" s="307">
        <v>51052.64</v>
      </c>
      <c r="U103" s="308">
        <f>51052.64+12737.49+0.01</f>
        <v>63790.14</v>
      </c>
      <c r="V103" s="309">
        <f t="shared" si="2"/>
        <v>778527.1000000001</v>
      </c>
      <c r="X103" s="310"/>
    </row>
    <row r="104" spans="1:24" s="290" customFormat="1" ht="12.75">
      <c r="A104" s="452"/>
      <c r="B104" s="312" t="s">
        <v>647</v>
      </c>
      <c r="C104" s="467"/>
      <c r="D104" s="469"/>
      <c r="E104" s="456"/>
      <c r="F104" s="315">
        <v>0.0115</v>
      </c>
      <c r="G104" s="316">
        <v>4233.03</v>
      </c>
      <c r="H104" s="317">
        <v>7295</v>
      </c>
      <c r="I104" s="317">
        <v>6796</v>
      </c>
      <c r="J104" s="317">
        <v>6260</v>
      </c>
      <c r="K104" s="317">
        <v>5742</v>
      </c>
      <c r="L104" s="317">
        <v>5224</v>
      </c>
      <c r="M104" s="317">
        <v>4720</v>
      </c>
      <c r="N104" s="317">
        <v>4189</v>
      </c>
      <c r="O104" s="317">
        <v>3672</v>
      </c>
      <c r="P104" s="317">
        <v>3154</v>
      </c>
      <c r="Q104" s="317">
        <v>2644</v>
      </c>
      <c r="R104" s="317">
        <v>2119</v>
      </c>
      <c r="S104" s="317">
        <v>1601</v>
      </c>
      <c r="T104" s="318">
        <v>1084</v>
      </c>
      <c r="U104" s="318">
        <f>568+89</f>
        <v>657</v>
      </c>
      <c r="V104" s="319">
        <f t="shared" si="2"/>
        <v>59390.03</v>
      </c>
      <c r="X104" s="310"/>
    </row>
    <row r="105" spans="1:24" s="290" customFormat="1" ht="12.75" customHeight="1">
      <c r="A105" s="451">
        <v>50</v>
      </c>
      <c r="B105" s="304" t="s">
        <v>522</v>
      </c>
      <c r="C105" s="466" t="s">
        <v>648</v>
      </c>
      <c r="D105" s="468">
        <v>238645.9</v>
      </c>
      <c r="E105" s="455" t="s">
        <v>646</v>
      </c>
      <c r="F105" s="337" t="s">
        <v>519</v>
      </c>
      <c r="G105" s="307">
        <v>21212.16</v>
      </c>
      <c r="H105" s="307">
        <v>21212.16</v>
      </c>
      <c r="I105" s="307">
        <v>21212.16</v>
      </c>
      <c r="J105" s="307">
        <v>21212.16</v>
      </c>
      <c r="K105" s="307">
        <v>21212.16</v>
      </c>
      <c r="L105" s="307">
        <v>21212.16</v>
      </c>
      <c r="M105" s="307">
        <v>21212.16</v>
      </c>
      <c r="N105" s="307">
        <v>21212.16</v>
      </c>
      <c r="O105" s="307">
        <v>21212.16</v>
      </c>
      <c r="P105" s="307">
        <v>21212.16</v>
      </c>
      <c r="Q105" s="307">
        <v>5312.12</v>
      </c>
      <c r="R105" s="335"/>
      <c r="S105" s="335"/>
      <c r="T105" s="336"/>
      <c r="U105" s="336"/>
      <c r="V105" s="309">
        <f t="shared" si="2"/>
        <v>217433.72</v>
      </c>
      <c r="X105" s="310"/>
    </row>
    <row r="106" spans="1:24" s="290" customFormat="1" ht="12.75">
      <c r="A106" s="452"/>
      <c r="B106" s="312" t="s">
        <v>649</v>
      </c>
      <c r="C106" s="467"/>
      <c r="D106" s="469"/>
      <c r="E106" s="456"/>
      <c r="F106" s="315">
        <v>0.0115</v>
      </c>
      <c r="G106" s="316">
        <v>1179.61</v>
      </c>
      <c r="H106" s="317">
        <v>1956</v>
      </c>
      <c r="I106" s="317">
        <v>1746</v>
      </c>
      <c r="J106" s="317">
        <v>1526</v>
      </c>
      <c r="K106" s="317">
        <v>1311</v>
      </c>
      <c r="L106" s="317">
        <v>1096</v>
      </c>
      <c r="M106" s="317">
        <v>883</v>
      </c>
      <c r="N106" s="317">
        <v>666</v>
      </c>
      <c r="O106" s="317">
        <v>451</v>
      </c>
      <c r="P106" s="317">
        <v>236</v>
      </c>
      <c r="Q106" s="317">
        <v>37</v>
      </c>
      <c r="R106" s="316"/>
      <c r="S106" s="316"/>
      <c r="T106" s="332"/>
      <c r="U106" s="332"/>
      <c r="V106" s="319">
        <f t="shared" si="2"/>
        <v>11087.61</v>
      </c>
      <c r="X106" s="310"/>
    </row>
    <row r="107" spans="1:24" s="290" customFormat="1" ht="12.75" customHeight="1">
      <c r="A107" s="451">
        <v>51</v>
      </c>
      <c r="B107" s="304" t="s">
        <v>522</v>
      </c>
      <c r="C107" s="466" t="s">
        <v>607</v>
      </c>
      <c r="D107" s="468">
        <v>600458.34</v>
      </c>
      <c r="E107" s="455" t="s">
        <v>650</v>
      </c>
      <c r="F107" s="337" t="s">
        <v>519</v>
      </c>
      <c r="G107" s="307">
        <v>39282.64</v>
      </c>
      <c r="H107" s="307">
        <v>39282.64</v>
      </c>
      <c r="I107" s="307">
        <v>39282.64</v>
      </c>
      <c r="J107" s="307">
        <v>39282.64</v>
      </c>
      <c r="K107" s="307">
        <v>39282.64</v>
      </c>
      <c r="L107" s="307">
        <v>39282.64</v>
      </c>
      <c r="M107" s="307">
        <v>39282.64</v>
      </c>
      <c r="N107" s="307">
        <v>39282.64</v>
      </c>
      <c r="O107" s="307">
        <v>39282.64</v>
      </c>
      <c r="P107" s="307">
        <v>39282.64</v>
      </c>
      <c r="Q107" s="307">
        <v>39282.64</v>
      </c>
      <c r="R107" s="307">
        <v>39282.64</v>
      </c>
      <c r="S107" s="307">
        <v>39282.64</v>
      </c>
      <c r="T107" s="307">
        <v>39282.64</v>
      </c>
      <c r="U107" s="336">
        <f>39282.64+9795.86</f>
        <v>49078.5</v>
      </c>
      <c r="V107" s="309">
        <f t="shared" si="2"/>
        <v>599035.4600000001</v>
      </c>
      <c r="X107" s="310"/>
    </row>
    <row r="108" spans="1:24" s="290" customFormat="1" ht="12.75">
      <c r="A108" s="452"/>
      <c r="B108" s="312" t="s">
        <v>651</v>
      </c>
      <c r="C108" s="467"/>
      <c r="D108" s="469"/>
      <c r="E108" s="456"/>
      <c r="F108" s="315">
        <v>0.00548</v>
      </c>
      <c r="G108" s="316">
        <v>3257.68</v>
      </c>
      <c r="H108" s="317">
        <v>5614</v>
      </c>
      <c r="I108" s="317">
        <v>5230</v>
      </c>
      <c r="J108" s="317">
        <v>4817</v>
      </c>
      <c r="K108" s="317">
        <v>4419</v>
      </c>
      <c r="L108" s="317">
        <v>4021</v>
      </c>
      <c r="M108" s="317">
        <v>3633</v>
      </c>
      <c r="N108" s="317">
        <v>3224</v>
      </c>
      <c r="O108" s="317">
        <v>2826</v>
      </c>
      <c r="P108" s="317">
        <v>2428</v>
      </c>
      <c r="Q108" s="317">
        <v>2035</v>
      </c>
      <c r="R108" s="317">
        <v>1631</v>
      </c>
      <c r="S108" s="317">
        <v>1233</v>
      </c>
      <c r="T108" s="318">
        <v>835</v>
      </c>
      <c r="U108" s="318">
        <f>438+69</f>
        <v>507</v>
      </c>
      <c r="V108" s="319">
        <f t="shared" si="2"/>
        <v>45710.68</v>
      </c>
      <c r="X108" s="310"/>
    </row>
    <row r="109" spans="1:24" s="290" customFormat="1" ht="12.75" customHeight="1">
      <c r="A109" s="451">
        <v>52</v>
      </c>
      <c r="B109" s="304" t="s">
        <v>522</v>
      </c>
      <c r="C109" s="466" t="s">
        <v>652</v>
      </c>
      <c r="D109" s="468">
        <v>183148.91</v>
      </c>
      <c r="E109" s="455" t="s">
        <v>653</v>
      </c>
      <c r="F109" s="337" t="s">
        <v>519</v>
      </c>
      <c r="G109" s="307">
        <v>16283.36</v>
      </c>
      <c r="H109" s="307">
        <v>16283.36</v>
      </c>
      <c r="I109" s="307">
        <v>16283.36</v>
      </c>
      <c r="J109" s="307">
        <v>16283.36</v>
      </c>
      <c r="K109" s="307">
        <v>16283.36</v>
      </c>
      <c r="L109" s="307">
        <v>16283.36</v>
      </c>
      <c r="M109" s="307">
        <v>16283.36</v>
      </c>
      <c r="N109" s="307">
        <v>16283.36</v>
      </c>
      <c r="O109" s="307">
        <v>16283.36</v>
      </c>
      <c r="P109" s="307">
        <v>16283.36</v>
      </c>
      <c r="Q109" s="307">
        <v>4031.97</v>
      </c>
      <c r="R109" s="335"/>
      <c r="S109" s="335"/>
      <c r="T109" s="336"/>
      <c r="U109" s="336"/>
      <c r="V109" s="309">
        <f t="shared" si="2"/>
        <v>166865.56999999998</v>
      </c>
      <c r="X109" s="310"/>
    </row>
    <row r="110" spans="1:24" s="290" customFormat="1" ht="12.75">
      <c r="A110" s="452"/>
      <c r="B110" s="312" t="s">
        <v>654</v>
      </c>
      <c r="C110" s="467"/>
      <c r="D110" s="469"/>
      <c r="E110" s="456"/>
      <c r="F110" s="315">
        <v>0.0115</v>
      </c>
      <c r="G110" s="316">
        <v>905.26</v>
      </c>
      <c r="H110" s="317">
        <v>1501</v>
      </c>
      <c r="I110" s="317">
        <v>1340</v>
      </c>
      <c r="J110" s="317">
        <v>1171</v>
      </c>
      <c r="K110" s="317">
        <v>1006</v>
      </c>
      <c r="L110" s="317">
        <v>841</v>
      </c>
      <c r="M110" s="317">
        <v>678</v>
      </c>
      <c r="N110" s="317">
        <v>511</v>
      </c>
      <c r="O110" s="317">
        <v>346</v>
      </c>
      <c r="P110" s="317">
        <v>181</v>
      </c>
      <c r="Q110" s="317">
        <v>28</v>
      </c>
      <c r="R110" s="316"/>
      <c r="S110" s="316"/>
      <c r="T110" s="332"/>
      <c r="U110" s="332"/>
      <c r="V110" s="319">
        <f t="shared" si="2"/>
        <v>8508.26</v>
      </c>
      <c r="X110" s="310"/>
    </row>
    <row r="111" spans="1:24" s="290" customFormat="1" ht="12.75" customHeight="1">
      <c r="A111" s="451">
        <v>53</v>
      </c>
      <c r="B111" s="304" t="s">
        <v>522</v>
      </c>
      <c r="C111" s="466" t="s">
        <v>655</v>
      </c>
      <c r="D111" s="468">
        <v>506634.24</v>
      </c>
      <c r="E111" s="455" t="s">
        <v>656</v>
      </c>
      <c r="F111" s="337" t="s">
        <v>519</v>
      </c>
      <c r="G111" s="307">
        <v>45036.72</v>
      </c>
      <c r="H111" s="307">
        <v>45036.72</v>
      </c>
      <c r="I111" s="307">
        <v>45036.72</v>
      </c>
      <c r="J111" s="307">
        <v>45036.72</v>
      </c>
      <c r="K111" s="307">
        <v>45036.72</v>
      </c>
      <c r="L111" s="307">
        <v>45036.72</v>
      </c>
      <c r="M111" s="307">
        <v>45036.72</v>
      </c>
      <c r="N111" s="307">
        <v>45036.72</v>
      </c>
      <c r="O111" s="307">
        <v>45036.72</v>
      </c>
      <c r="P111" s="307">
        <v>45036.72</v>
      </c>
      <c r="Q111" s="307">
        <v>11230.3</v>
      </c>
      <c r="R111" s="335"/>
      <c r="S111" s="335"/>
      <c r="T111" s="336"/>
      <c r="U111" s="336"/>
      <c r="V111" s="309">
        <f t="shared" si="2"/>
        <v>461597.49999999994</v>
      </c>
      <c r="X111" s="310"/>
    </row>
    <row r="112" spans="1:24" s="290" customFormat="1" ht="12.75">
      <c r="A112" s="452"/>
      <c r="B112" s="312" t="s">
        <v>657</v>
      </c>
      <c r="C112" s="467"/>
      <c r="D112" s="469"/>
      <c r="E112" s="456"/>
      <c r="F112" s="315">
        <v>0.0089</v>
      </c>
      <c r="G112" s="316">
        <v>2849.52</v>
      </c>
      <c r="H112" s="317">
        <v>4153</v>
      </c>
      <c r="I112" s="317">
        <v>3707</v>
      </c>
      <c r="J112" s="317">
        <v>3240</v>
      </c>
      <c r="K112" s="317">
        <v>2783</v>
      </c>
      <c r="L112" s="317">
        <v>2327</v>
      </c>
      <c r="M112" s="317">
        <v>1875</v>
      </c>
      <c r="N112" s="317">
        <v>1413</v>
      </c>
      <c r="O112" s="317">
        <v>957</v>
      </c>
      <c r="P112" s="317">
        <v>500</v>
      </c>
      <c r="Q112" s="317">
        <v>79</v>
      </c>
      <c r="R112" s="316"/>
      <c r="S112" s="316"/>
      <c r="T112" s="332"/>
      <c r="U112" s="332"/>
      <c r="V112" s="319">
        <f t="shared" si="2"/>
        <v>23883.52</v>
      </c>
      <c r="X112" s="310"/>
    </row>
    <row r="113" spans="1:24" s="290" customFormat="1" ht="12.75" customHeight="1">
      <c r="A113" s="451">
        <v>54</v>
      </c>
      <c r="B113" s="304" t="s">
        <v>522</v>
      </c>
      <c r="C113" s="466" t="s">
        <v>658</v>
      </c>
      <c r="D113" s="468">
        <v>562230.54</v>
      </c>
      <c r="E113" s="455" t="s">
        <v>656</v>
      </c>
      <c r="F113" s="337" t="s">
        <v>519</v>
      </c>
      <c r="G113" s="307">
        <v>36448.28</v>
      </c>
      <c r="H113" s="307">
        <v>36448.28</v>
      </c>
      <c r="I113" s="307">
        <v>36448.28</v>
      </c>
      <c r="J113" s="307">
        <v>36448.28</v>
      </c>
      <c r="K113" s="307">
        <v>36448.28</v>
      </c>
      <c r="L113" s="307">
        <v>36448.28</v>
      </c>
      <c r="M113" s="307">
        <v>36448.28</v>
      </c>
      <c r="N113" s="307">
        <v>36448.28</v>
      </c>
      <c r="O113" s="307">
        <v>36448.28</v>
      </c>
      <c r="P113" s="307">
        <v>36448.28</v>
      </c>
      <c r="Q113" s="307">
        <v>36448.28</v>
      </c>
      <c r="R113" s="307">
        <v>36448.28</v>
      </c>
      <c r="S113" s="307">
        <v>36448.28</v>
      </c>
      <c r="T113" s="307">
        <v>36448.28</v>
      </c>
      <c r="U113" s="308">
        <f>36448.28+9092.03</f>
        <v>45540.31</v>
      </c>
      <c r="V113" s="309">
        <f t="shared" si="2"/>
        <v>555816.2300000002</v>
      </c>
      <c r="X113" s="310"/>
    </row>
    <row r="114" spans="1:24" s="290" customFormat="1" ht="12.75">
      <c r="A114" s="452"/>
      <c r="B114" s="312" t="s">
        <v>659</v>
      </c>
      <c r="C114" s="467"/>
      <c r="D114" s="469"/>
      <c r="E114" s="456"/>
      <c r="F114" s="315">
        <v>0.0089</v>
      </c>
      <c r="G114" s="316">
        <v>3438.91</v>
      </c>
      <c r="H114" s="317">
        <v>5209</v>
      </c>
      <c r="I114" s="317">
        <v>4853</v>
      </c>
      <c r="J114" s="317">
        <v>4470</v>
      </c>
      <c r="K114" s="317">
        <v>4100</v>
      </c>
      <c r="L114" s="317">
        <v>3731</v>
      </c>
      <c r="M114" s="317">
        <v>3371</v>
      </c>
      <c r="N114" s="317">
        <v>2992</v>
      </c>
      <c r="O114" s="317">
        <v>2622</v>
      </c>
      <c r="P114" s="317">
        <v>2253</v>
      </c>
      <c r="Q114" s="317">
        <v>1888</v>
      </c>
      <c r="R114" s="317">
        <v>1513</v>
      </c>
      <c r="S114" s="317">
        <v>1144</v>
      </c>
      <c r="T114" s="318">
        <v>774</v>
      </c>
      <c r="U114" s="318">
        <f>406+64</f>
        <v>470</v>
      </c>
      <c r="V114" s="319">
        <f t="shared" si="2"/>
        <v>42828.91</v>
      </c>
      <c r="X114" s="310"/>
    </row>
    <row r="115" spans="1:24" s="290" customFormat="1" ht="12.75" customHeight="1">
      <c r="A115" s="451">
        <v>55</v>
      </c>
      <c r="B115" s="304" t="s">
        <v>522</v>
      </c>
      <c r="C115" s="466" t="s">
        <v>660</v>
      </c>
      <c r="D115" s="468">
        <v>140213.39</v>
      </c>
      <c r="E115" s="455" t="s">
        <v>656</v>
      </c>
      <c r="F115" s="337" t="s">
        <v>519</v>
      </c>
      <c r="G115" s="307">
        <v>12464.36</v>
      </c>
      <c r="H115" s="307">
        <v>12464.36</v>
      </c>
      <c r="I115" s="307">
        <v>12464.36</v>
      </c>
      <c r="J115" s="307">
        <v>12464.36</v>
      </c>
      <c r="K115" s="307">
        <v>12464.36</v>
      </c>
      <c r="L115" s="307">
        <v>12464.36</v>
      </c>
      <c r="M115" s="307">
        <v>12464.36</v>
      </c>
      <c r="N115" s="307">
        <v>12464.36</v>
      </c>
      <c r="O115" s="307">
        <v>12464.36</v>
      </c>
      <c r="P115" s="307">
        <v>12464.36</v>
      </c>
      <c r="Q115" s="307">
        <v>3105.43</v>
      </c>
      <c r="R115" s="335"/>
      <c r="S115" s="335"/>
      <c r="T115" s="336"/>
      <c r="U115" s="336"/>
      <c r="V115" s="309">
        <f t="shared" si="2"/>
        <v>127749.03</v>
      </c>
      <c r="X115" s="310"/>
    </row>
    <row r="116" spans="1:24" s="290" customFormat="1" ht="12.75">
      <c r="A116" s="452"/>
      <c r="B116" s="312" t="s">
        <v>661</v>
      </c>
      <c r="C116" s="467"/>
      <c r="D116" s="469"/>
      <c r="E116" s="456"/>
      <c r="F116" s="315">
        <v>0.0089</v>
      </c>
      <c r="G116" s="316">
        <v>788.63</v>
      </c>
      <c r="H116" s="317">
        <v>1149</v>
      </c>
      <c r="I116" s="317">
        <v>1026</v>
      </c>
      <c r="J116" s="317">
        <v>897</v>
      </c>
      <c r="K116" s="317">
        <v>770</v>
      </c>
      <c r="L116" s="317">
        <v>644</v>
      </c>
      <c r="M116" s="317">
        <v>519</v>
      </c>
      <c r="N116" s="317">
        <v>391</v>
      </c>
      <c r="O116" s="317">
        <v>265</v>
      </c>
      <c r="P116" s="317">
        <v>139</v>
      </c>
      <c r="Q116" s="317">
        <v>22</v>
      </c>
      <c r="R116" s="316"/>
      <c r="S116" s="316"/>
      <c r="T116" s="332"/>
      <c r="U116" s="332"/>
      <c r="V116" s="319">
        <f t="shared" si="2"/>
        <v>6610.63</v>
      </c>
      <c r="X116" s="310"/>
    </row>
    <row r="117" spans="1:24" s="290" customFormat="1" ht="12.75" customHeight="1">
      <c r="A117" s="451">
        <v>56</v>
      </c>
      <c r="B117" s="304" t="s">
        <v>522</v>
      </c>
      <c r="C117" s="466" t="s">
        <v>662</v>
      </c>
      <c r="D117" s="468">
        <v>178581.82</v>
      </c>
      <c r="E117" s="455" t="s">
        <v>663</v>
      </c>
      <c r="F117" s="337" t="s">
        <v>519</v>
      </c>
      <c r="G117" s="338">
        <v>1924.73</v>
      </c>
      <c r="H117" s="335"/>
      <c r="I117" s="335"/>
      <c r="J117" s="335"/>
      <c r="K117" s="335"/>
      <c r="L117" s="335"/>
      <c r="M117" s="307"/>
      <c r="N117" s="307">
        <v>15737.42</v>
      </c>
      <c r="O117" s="307">
        <v>15873.56</v>
      </c>
      <c r="P117" s="307">
        <v>15873.56</v>
      </c>
      <c r="Q117" s="307">
        <v>15873.56</v>
      </c>
      <c r="R117" s="307">
        <v>3972.68</v>
      </c>
      <c r="S117" s="335"/>
      <c r="T117" s="336"/>
      <c r="U117" s="336"/>
      <c r="V117" s="309">
        <f t="shared" si="2"/>
        <v>69255.51</v>
      </c>
      <c r="X117" s="310"/>
    </row>
    <row r="118" spans="1:24" s="290" customFormat="1" ht="12.75">
      <c r="A118" s="452"/>
      <c r="B118" s="312" t="s">
        <v>664</v>
      </c>
      <c r="C118" s="467"/>
      <c r="D118" s="469"/>
      <c r="E118" s="456"/>
      <c r="F118" s="315">
        <v>0.00606</v>
      </c>
      <c r="G118" s="316">
        <v>423.72</v>
      </c>
      <c r="H118" s="317">
        <v>683</v>
      </c>
      <c r="I118" s="317">
        <v>685</v>
      </c>
      <c r="J118" s="317">
        <v>683</v>
      </c>
      <c r="K118" s="317">
        <v>683</v>
      </c>
      <c r="L118" s="317">
        <v>683</v>
      </c>
      <c r="M118" s="317">
        <v>685</v>
      </c>
      <c r="N118" s="317">
        <v>650</v>
      </c>
      <c r="O118" s="317">
        <v>498</v>
      </c>
      <c r="P118" s="317">
        <v>337</v>
      </c>
      <c r="Q118" s="317">
        <v>177</v>
      </c>
      <c r="R118" s="317">
        <v>28</v>
      </c>
      <c r="S118" s="316"/>
      <c r="T118" s="332"/>
      <c r="U118" s="332"/>
      <c r="V118" s="319">
        <f t="shared" si="2"/>
        <v>6215.72</v>
      </c>
      <c r="X118" s="310"/>
    </row>
    <row r="119" spans="1:24" s="290" customFormat="1" ht="12.75" customHeight="1">
      <c r="A119" s="451">
        <v>57</v>
      </c>
      <c r="B119" s="304" t="s">
        <v>522</v>
      </c>
      <c r="C119" s="453" t="s">
        <v>665</v>
      </c>
      <c r="D119" s="454">
        <v>75804.92</v>
      </c>
      <c r="E119" s="457" t="s">
        <v>666</v>
      </c>
      <c r="F119" s="337" t="s">
        <v>519</v>
      </c>
      <c r="G119" s="307">
        <v>5048.49</v>
      </c>
      <c r="H119" s="307">
        <v>6738.72</v>
      </c>
      <c r="I119" s="307">
        <v>6738.72</v>
      </c>
      <c r="J119" s="307">
        <v>6738.72</v>
      </c>
      <c r="K119" s="307">
        <v>6738.72</v>
      </c>
      <c r="L119" s="307">
        <v>6738.72</v>
      </c>
      <c r="M119" s="307">
        <v>6738.72</v>
      </c>
      <c r="N119" s="307">
        <v>6738.72</v>
      </c>
      <c r="O119" s="307">
        <v>6738.72</v>
      </c>
      <c r="P119" s="307">
        <v>6738.72</v>
      </c>
      <c r="Q119" s="307">
        <v>6738.72</v>
      </c>
      <c r="R119" s="307">
        <v>3369.37</v>
      </c>
      <c r="S119" s="335"/>
      <c r="T119" s="336"/>
      <c r="U119" s="336"/>
      <c r="V119" s="309">
        <f t="shared" si="2"/>
        <v>75805.06</v>
      </c>
      <c r="X119" s="310"/>
    </row>
    <row r="120" spans="1:24" s="290" customFormat="1" ht="12.75">
      <c r="A120" s="452"/>
      <c r="B120" s="312" t="s">
        <v>667</v>
      </c>
      <c r="C120" s="446"/>
      <c r="D120" s="448"/>
      <c r="E120" s="450"/>
      <c r="F120" s="315">
        <v>0.00606</v>
      </c>
      <c r="G120" s="316">
        <v>466.63</v>
      </c>
      <c r="H120" s="317">
        <v>707</v>
      </c>
      <c r="I120" s="317">
        <v>640</v>
      </c>
      <c r="J120" s="317">
        <v>570</v>
      </c>
      <c r="K120" s="317">
        <v>502</v>
      </c>
      <c r="L120" s="317">
        <v>434</v>
      </c>
      <c r="M120" s="317">
        <v>366</v>
      </c>
      <c r="N120" s="317">
        <v>397</v>
      </c>
      <c r="O120" s="317">
        <v>229</v>
      </c>
      <c r="P120" s="317">
        <v>160</v>
      </c>
      <c r="Q120" s="317">
        <v>92</v>
      </c>
      <c r="R120" s="317">
        <v>24</v>
      </c>
      <c r="S120" s="316"/>
      <c r="T120" s="332"/>
      <c r="U120" s="332"/>
      <c r="V120" s="319">
        <f t="shared" si="2"/>
        <v>4587.63</v>
      </c>
      <c r="X120" s="310"/>
    </row>
    <row r="121" spans="1:24" s="290" customFormat="1" ht="12.75" customHeight="1">
      <c r="A121" s="451">
        <v>58</v>
      </c>
      <c r="B121" s="304" t="s">
        <v>522</v>
      </c>
      <c r="C121" s="453" t="s">
        <v>668</v>
      </c>
      <c r="D121" s="454">
        <v>62714.5</v>
      </c>
      <c r="E121" s="457" t="s">
        <v>666</v>
      </c>
      <c r="F121" s="337" t="s">
        <v>519</v>
      </c>
      <c r="G121" s="335"/>
      <c r="H121" s="335"/>
      <c r="I121" s="335"/>
      <c r="J121" s="335"/>
      <c r="K121" s="335"/>
      <c r="L121" s="335"/>
      <c r="M121" s="335"/>
      <c r="N121" s="307">
        <v>5540.44</v>
      </c>
      <c r="O121" s="307">
        <v>5571.96</v>
      </c>
      <c r="P121" s="307">
        <v>5571.96</v>
      </c>
      <c r="Q121" s="307">
        <v>5571.96</v>
      </c>
      <c r="R121" s="307">
        <v>1422.9</v>
      </c>
      <c r="S121" s="335"/>
      <c r="T121" s="336"/>
      <c r="U121" s="336"/>
      <c r="V121" s="309">
        <f t="shared" si="2"/>
        <v>23679.22</v>
      </c>
      <c r="X121" s="310"/>
    </row>
    <row r="122" spans="1:24" s="290" customFormat="1" ht="12.75">
      <c r="A122" s="452"/>
      <c r="B122" s="312" t="s">
        <v>669</v>
      </c>
      <c r="C122" s="446"/>
      <c r="D122" s="448"/>
      <c r="E122" s="450"/>
      <c r="F122" s="315">
        <v>0.00606</v>
      </c>
      <c r="G122" s="316">
        <v>147.08</v>
      </c>
      <c r="H122" s="316">
        <v>240</v>
      </c>
      <c r="I122" s="316">
        <v>241</v>
      </c>
      <c r="J122" s="316">
        <v>240</v>
      </c>
      <c r="K122" s="316">
        <v>240</v>
      </c>
      <c r="L122" s="316">
        <v>240</v>
      </c>
      <c r="M122" s="316">
        <v>241</v>
      </c>
      <c r="N122" s="316">
        <v>228</v>
      </c>
      <c r="O122" s="316">
        <v>175</v>
      </c>
      <c r="P122" s="316">
        <v>119</v>
      </c>
      <c r="Q122" s="316">
        <v>62</v>
      </c>
      <c r="R122" s="316">
        <v>10</v>
      </c>
      <c r="S122" s="316"/>
      <c r="T122" s="332"/>
      <c r="U122" s="332"/>
      <c r="V122" s="319">
        <f t="shared" si="2"/>
        <v>2183.08</v>
      </c>
      <c r="X122" s="310"/>
    </row>
    <row r="123" spans="1:24" s="290" customFormat="1" ht="12.75" customHeight="1">
      <c r="A123" s="451">
        <v>59</v>
      </c>
      <c r="B123" s="304" t="s">
        <v>522</v>
      </c>
      <c r="C123" s="453" t="s">
        <v>670</v>
      </c>
      <c r="D123" s="454">
        <v>912733.07</v>
      </c>
      <c r="E123" s="457" t="s">
        <v>671</v>
      </c>
      <c r="F123" s="337" t="s">
        <v>519</v>
      </c>
      <c r="G123" s="307">
        <v>60849.11</v>
      </c>
      <c r="H123" s="307">
        <v>81132.16</v>
      </c>
      <c r="I123" s="307">
        <v>81132.16</v>
      </c>
      <c r="J123" s="307">
        <v>81132.16</v>
      </c>
      <c r="K123" s="307">
        <v>81132.16</v>
      </c>
      <c r="L123" s="307">
        <v>81132.16</v>
      </c>
      <c r="M123" s="307">
        <v>81132.16</v>
      </c>
      <c r="N123" s="307">
        <v>81132.16</v>
      </c>
      <c r="O123" s="307">
        <v>81132.16</v>
      </c>
      <c r="P123" s="307">
        <v>81132.16</v>
      </c>
      <c r="Q123" s="307">
        <v>81132.16</v>
      </c>
      <c r="R123" s="307">
        <v>40562.51</v>
      </c>
      <c r="S123" s="335"/>
      <c r="T123" s="336"/>
      <c r="U123" s="336"/>
      <c r="V123" s="309">
        <f t="shared" si="2"/>
        <v>912733.2200000002</v>
      </c>
      <c r="X123" s="310"/>
    </row>
    <row r="124" spans="1:24" s="290" customFormat="1" ht="12.75">
      <c r="A124" s="452"/>
      <c r="B124" s="312" t="s">
        <v>672</v>
      </c>
      <c r="C124" s="446"/>
      <c r="D124" s="448"/>
      <c r="E124" s="450"/>
      <c r="F124" s="315">
        <v>0.0055</v>
      </c>
      <c r="G124" s="316">
        <v>5264.46</v>
      </c>
      <c r="H124" s="317">
        <v>8510</v>
      </c>
      <c r="I124" s="317">
        <v>7709</v>
      </c>
      <c r="J124" s="317">
        <v>6865</v>
      </c>
      <c r="K124" s="317">
        <v>6042</v>
      </c>
      <c r="L124" s="317">
        <v>5220</v>
      </c>
      <c r="M124" s="317">
        <v>4410</v>
      </c>
      <c r="N124" s="317">
        <v>3575</v>
      </c>
      <c r="O124" s="317">
        <v>2752</v>
      </c>
      <c r="P124" s="317">
        <v>1930</v>
      </c>
      <c r="Q124" s="317">
        <v>1110</v>
      </c>
      <c r="R124" s="317">
        <v>290</v>
      </c>
      <c r="S124" s="316"/>
      <c r="T124" s="332"/>
      <c r="U124" s="332"/>
      <c r="V124" s="319">
        <f t="shared" si="2"/>
        <v>53677.46</v>
      </c>
      <c r="X124" s="310"/>
    </row>
    <row r="125" spans="1:24" s="290" customFormat="1" ht="12.75" customHeight="1">
      <c r="A125" s="451">
        <v>60</v>
      </c>
      <c r="B125" s="304" t="s">
        <v>522</v>
      </c>
      <c r="C125" s="453" t="s">
        <v>673</v>
      </c>
      <c r="D125" s="454">
        <v>156218.53</v>
      </c>
      <c r="E125" s="457" t="s">
        <v>674</v>
      </c>
      <c r="F125" s="337" t="s">
        <v>519</v>
      </c>
      <c r="G125" s="307">
        <v>10415.42</v>
      </c>
      <c r="H125" s="307">
        <v>13887.24</v>
      </c>
      <c r="I125" s="307">
        <v>13887.24</v>
      </c>
      <c r="J125" s="307">
        <v>13887.24</v>
      </c>
      <c r="K125" s="307">
        <v>13887.24</v>
      </c>
      <c r="L125" s="307">
        <v>13887.24</v>
      </c>
      <c r="M125" s="307">
        <v>13887.24</v>
      </c>
      <c r="N125" s="307">
        <v>13887.24</v>
      </c>
      <c r="O125" s="307">
        <v>13887.24</v>
      </c>
      <c r="P125" s="307">
        <v>13887.24</v>
      </c>
      <c r="Q125" s="307">
        <v>13887.24</v>
      </c>
      <c r="R125" s="307">
        <v>6930.71</v>
      </c>
      <c r="S125" s="335"/>
      <c r="T125" s="336"/>
      <c r="U125" s="336"/>
      <c r="V125" s="309">
        <f t="shared" si="2"/>
        <v>156218.53</v>
      </c>
      <c r="X125" s="310"/>
    </row>
    <row r="126" spans="1:24" s="290" customFormat="1" ht="12.75">
      <c r="A126" s="452"/>
      <c r="B126" s="312" t="s">
        <v>675</v>
      </c>
      <c r="C126" s="446"/>
      <c r="D126" s="448"/>
      <c r="E126" s="450"/>
      <c r="F126" s="315">
        <v>0.00548</v>
      </c>
      <c r="G126" s="316">
        <v>841.6</v>
      </c>
      <c r="H126" s="317">
        <v>1457</v>
      </c>
      <c r="I126" s="317">
        <v>1319</v>
      </c>
      <c r="J126" s="317">
        <v>1175</v>
      </c>
      <c r="K126" s="317">
        <v>1034</v>
      </c>
      <c r="L126" s="317">
        <v>893</v>
      </c>
      <c r="M126" s="317">
        <v>755</v>
      </c>
      <c r="N126" s="317">
        <v>612</v>
      </c>
      <c r="O126" s="317">
        <v>471</v>
      </c>
      <c r="P126" s="317">
        <v>330</v>
      </c>
      <c r="Q126" s="317">
        <v>190</v>
      </c>
      <c r="R126" s="317">
        <v>50</v>
      </c>
      <c r="S126" s="316"/>
      <c r="T126" s="332"/>
      <c r="U126" s="332"/>
      <c r="V126" s="319">
        <f t="shared" si="2"/>
        <v>9127.6</v>
      </c>
      <c r="X126" s="310"/>
    </row>
    <row r="127" spans="1:24" s="290" customFormat="1" ht="12.75" customHeight="1">
      <c r="A127" s="451">
        <v>61</v>
      </c>
      <c r="B127" s="304" t="s">
        <v>522</v>
      </c>
      <c r="C127" s="453" t="s">
        <v>676</v>
      </c>
      <c r="D127" s="454">
        <v>142226.65</v>
      </c>
      <c r="E127" s="457" t="s">
        <v>677</v>
      </c>
      <c r="F127" s="337" t="s">
        <v>519</v>
      </c>
      <c r="G127" s="307">
        <v>6450.53</v>
      </c>
      <c r="H127" s="307">
        <v>12931.04</v>
      </c>
      <c r="I127" s="307">
        <v>12931.04</v>
      </c>
      <c r="J127" s="307">
        <v>12931.04</v>
      </c>
      <c r="K127" s="307">
        <v>12931.04</v>
      </c>
      <c r="L127" s="307">
        <v>12931.04</v>
      </c>
      <c r="M127" s="307">
        <v>12931.04</v>
      </c>
      <c r="N127" s="307">
        <v>12931.04</v>
      </c>
      <c r="O127" s="307">
        <v>12931.04</v>
      </c>
      <c r="P127" s="307">
        <v>12931.04</v>
      </c>
      <c r="Q127" s="307">
        <v>12931.04</v>
      </c>
      <c r="R127" s="307">
        <v>6465.72</v>
      </c>
      <c r="S127" s="335"/>
      <c r="T127" s="336"/>
      <c r="U127" s="336"/>
      <c r="V127" s="309">
        <f t="shared" si="2"/>
        <v>142226.65000000005</v>
      </c>
      <c r="X127" s="310"/>
    </row>
    <row r="128" spans="1:24" s="290" customFormat="1" ht="12.75">
      <c r="A128" s="452"/>
      <c r="B128" s="312" t="s">
        <v>678</v>
      </c>
      <c r="C128" s="446"/>
      <c r="D128" s="448"/>
      <c r="E128" s="450"/>
      <c r="F128" s="315">
        <v>0.0092</v>
      </c>
      <c r="G128" s="316">
        <v>989.53</v>
      </c>
      <c r="H128" s="317">
        <v>1356</v>
      </c>
      <c r="I128" s="317">
        <v>1229</v>
      </c>
      <c r="J128" s="317">
        <v>1094</v>
      </c>
      <c r="K128" s="317">
        <v>963</v>
      </c>
      <c r="L128" s="317">
        <v>832</v>
      </c>
      <c r="M128" s="317">
        <v>703</v>
      </c>
      <c r="N128" s="317">
        <v>570</v>
      </c>
      <c r="O128" s="317">
        <v>439</v>
      </c>
      <c r="P128" s="317">
        <v>308</v>
      </c>
      <c r="Q128" s="317">
        <v>177</v>
      </c>
      <c r="R128" s="317">
        <v>46</v>
      </c>
      <c r="S128" s="316"/>
      <c r="T128" s="332"/>
      <c r="U128" s="332"/>
      <c r="V128" s="319">
        <f t="shared" si="2"/>
        <v>8706.529999999999</v>
      </c>
      <c r="X128" s="310"/>
    </row>
    <row r="129" spans="1:24" s="290" customFormat="1" ht="12.75" customHeight="1">
      <c r="A129" s="451">
        <v>62</v>
      </c>
      <c r="B129" s="304" t="s">
        <v>522</v>
      </c>
      <c r="C129" s="453" t="s">
        <v>597</v>
      </c>
      <c r="D129" s="454">
        <v>29053.99</v>
      </c>
      <c r="E129" s="457" t="s">
        <v>677</v>
      </c>
      <c r="F129" s="337" t="s">
        <v>519</v>
      </c>
      <c r="G129" s="307">
        <v>1922.66</v>
      </c>
      <c r="H129" s="307">
        <v>2583.92</v>
      </c>
      <c r="I129" s="307">
        <v>2583.92</v>
      </c>
      <c r="J129" s="307">
        <v>2583.92</v>
      </c>
      <c r="K129" s="307">
        <v>2583.92</v>
      </c>
      <c r="L129" s="307">
        <v>2583.92</v>
      </c>
      <c r="M129" s="307">
        <v>2583.92</v>
      </c>
      <c r="N129" s="307">
        <v>2583.92</v>
      </c>
      <c r="O129" s="307">
        <v>2583.92</v>
      </c>
      <c r="P129" s="307">
        <v>2583.92</v>
      </c>
      <c r="Q129" s="307">
        <v>2583.92</v>
      </c>
      <c r="R129" s="307">
        <v>1292.13</v>
      </c>
      <c r="S129" s="335"/>
      <c r="T129" s="336"/>
      <c r="U129" s="336"/>
      <c r="V129" s="309">
        <f t="shared" si="2"/>
        <v>29053.989999999994</v>
      </c>
      <c r="X129" s="310"/>
    </row>
    <row r="130" spans="1:24" s="290" customFormat="1" ht="12.75">
      <c r="A130" s="452"/>
      <c r="B130" s="312" t="s">
        <v>679</v>
      </c>
      <c r="C130" s="446"/>
      <c r="D130" s="448"/>
      <c r="E130" s="450"/>
      <c r="F130" s="315">
        <v>0.0092</v>
      </c>
      <c r="G130" s="316">
        <v>200.72</v>
      </c>
      <c r="H130" s="317">
        <v>271</v>
      </c>
      <c r="I130" s="317">
        <v>246</v>
      </c>
      <c r="J130" s="317">
        <v>219</v>
      </c>
      <c r="K130" s="317">
        <v>192</v>
      </c>
      <c r="L130" s="317">
        <v>166</v>
      </c>
      <c r="M130" s="317">
        <v>140</v>
      </c>
      <c r="N130" s="317">
        <v>114</v>
      </c>
      <c r="O130" s="317">
        <v>88</v>
      </c>
      <c r="P130" s="317">
        <v>61</v>
      </c>
      <c r="Q130" s="317">
        <v>35</v>
      </c>
      <c r="R130" s="317">
        <v>9</v>
      </c>
      <c r="S130" s="316"/>
      <c r="T130" s="332"/>
      <c r="U130" s="332"/>
      <c r="V130" s="319">
        <f t="shared" si="2"/>
        <v>1741.72</v>
      </c>
      <c r="X130" s="310"/>
    </row>
    <row r="131" spans="1:24" s="290" customFormat="1" ht="12.75" customHeight="1">
      <c r="A131" s="451">
        <v>63</v>
      </c>
      <c r="B131" s="304" t="s">
        <v>522</v>
      </c>
      <c r="C131" s="453" t="s">
        <v>668</v>
      </c>
      <c r="D131" s="454">
        <v>28919.87</v>
      </c>
      <c r="E131" s="457" t="s">
        <v>680</v>
      </c>
      <c r="F131" s="337" t="s">
        <v>519</v>
      </c>
      <c r="G131" s="335"/>
      <c r="H131" s="307">
        <v>2572.56</v>
      </c>
      <c r="I131" s="307">
        <v>2572.56</v>
      </c>
      <c r="J131" s="307">
        <v>2572.56</v>
      </c>
      <c r="K131" s="307">
        <v>2572.56</v>
      </c>
      <c r="L131" s="307">
        <v>2572.56</v>
      </c>
      <c r="M131" s="307">
        <v>2572.56</v>
      </c>
      <c r="N131" s="307">
        <v>2572.56</v>
      </c>
      <c r="O131" s="307">
        <v>2572.56</v>
      </c>
      <c r="P131" s="307">
        <v>2572.56</v>
      </c>
      <c r="Q131" s="307">
        <v>2572.56</v>
      </c>
      <c r="R131" s="307">
        <v>2572.56</v>
      </c>
      <c r="S131" s="307">
        <v>621.71</v>
      </c>
      <c r="T131" s="336"/>
      <c r="U131" s="336"/>
      <c r="V131" s="309">
        <f t="shared" si="2"/>
        <v>28919.870000000003</v>
      </c>
      <c r="X131" s="310"/>
    </row>
    <row r="132" spans="1:24" s="290" customFormat="1" ht="12.75">
      <c r="A132" s="452"/>
      <c r="B132" s="312" t="s">
        <v>681</v>
      </c>
      <c r="C132" s="446"/>
      <c r="D132" s="448"/>
      <c r="E132" s="450"/>
      <c r="F132" s="315">
        <v>0.0069</v>
      </c>
      <c r="G132" s="316">
        <v>191.99</v>
      </c>
      <c r="H132" s="317">
        <v>288</v>
      </c>
      <c r="I132" s="317">
        <v>264</v>
      </c>
      <c r="J132" s="317">
        <v>237</v>
      </c>
      <c r="K132" s="317">
        <v>211</v>
      </c>
      <c r="L132" s="317">
        <v>185</v>
      </c>
      <c r="M132" s="317">
        <v>159</v>
      </c>
      <c r="N132" s="317">
        <v>133</v>
      </c>
      <c r="O132" s="317">
        <v>107</v>
      </c>
      <c r="P132" s="317">
        <v>81</v>
      </c>
      <c r="Q132" s="317">
        <v>55</v>
      </c>
      <c r="R132" s="317">
        <v>28</v>
      </c>
      <c r="S132" s="317">
        <v>4</v>
      </c>
      <c r="T132" s="332"/>
      <c r="U132" s="332"/>
      <c r="V132" s="319">
        <f t="shared" si="2"/>
        <v>1943.99</v>
      </c>
      <c r="X132" s="310"/>
    </row>
    <row r="133" spans="1:24" s="290" customFormat="1" ht="12.75" customHeight="1">
      <c r="A133" s="451">
        <v>64</v>
      </c>
      <c r="B133" s="304" t="s">
        <v>522</v>
      </c>
      <c r="C133" s="453" t="s">
        <v>682</v>
      </c>
      <c r="D133" s="454">
        <v>8466400.93</v>
      </c>
      <c r="E133" s="457" t="s">
        <v>683</v>
      </c>
      <c r="F133" s="337" t="s">
        <v>519</v>
      </c>
      <c r="G133" s="335"/>
      <c r="H133" s="307">
        <v>376251.93</v>
      </c>
      <c r="I133" s="307">
        <v>752572</v>
      </c>
      <c r="J133" s="307">
        <v>752572</v>
      </c>
      <c r="K133" s="307">
        <v>752572</v>
      </c>
      <c r="L133" s="307">
        <v>752572</v>
      </c>
      <c r="M133" s="307">
        <v>752572</v>
      </c>
      <c r="N133" s="307">
        <v>752572</v>
      </c>
      <c r="O133" s="307">
        <v>752572</v>
      </c>
      <c r="P133" s="307">
        <v>752572</v>
      </c>
      <c r="Q133" s="307">
        <v>752572</v>
      </c>
      <c r="R133" s="307">
        <v>752572</v>
      </c>
      <c r="S133" s="307">
        <v>564429</v>
      </c>
      <c r="T133" s="336"/>
      <c r="U133" s="336"/>
      <c r="V133" s="309">
        <f t="shared" si="2"/>
        <v>8466400.93</v>
      </c>
      <c r="X133" s="310"/>
    </row>
    <row r="134" spans="1:24" s="290" customFormat="1" ht="12.75">
      <c r="A134" s="452"/>
      <c r="B134" s="312" t="s">
        <v>684</v>
      </c>
      <c r="C134" s="446"/>
      <c r="D134" s="448"/>
      <c r="E134" s="450"/>
      <c r="F134" s="315">
        <v>0.00868</v>
      </c>
      <c r="G134" s="316">
        <v>46718.52</v>
      </c>
      <c r="H134" s="317">
        <v>85788</v>
      </c>
      <c r="I134" s="317">
        <v>81074</v>
      </c>
      <c r="J134" s="317">
        <v>73219</v>
      </c>
      <c r="K134" s="317">
        <v>65588</v>
      </c>
      <c r="L134" s="317">
        <v>57958</v>
      </c>
      <c r="M134" s="317">
        <v>50469</v>
      </c>
      <c r="N134" s="317">
        <v>42698</v>
      </c>
      <c r="O134" s="317">
        <v>35067</v>
      </c>
      <c r="P134" s="317">
        <v>27437</v>
      </c>
      <c r="Q134" s="317">
        <v>19864</v>
      </c>
      <c r="R134" s="317">
        <v>12177</v>
      </c>
      <c r="S134" s="317">
        <v>4546</v>
      </c>
      <c r="T134" s="332"/>
      <c r="U134" s="332"/>
      <c r="V134" s="319">
        <f t="shared" si="2"/>
        <v>602603.52</v>
      </c>
      <c r="X134" s="310"/>
    </row>
    <row r="135" spans="1:24" s="290" customFormat="1" ht="12.75" customHeight="1">
      <c r="A135" s="451">
        <v>65</v>
      </c>
      <c r="B135" s="304" t="s">
        <v>522</v>
      </c>
      <c r="C135" s="453" t="s">
        <v>685</v>
      </c>
      <c r="D135" s="454">
        <v>351453.61</v>
      </c>
      <c r="E135" s="457" t="s">
        <v>686</v>
      </c>
      <c r="F135" s="337" t="s">
        <v>519</v>
      </c>
      <c r="G135" s="335"/>
      <c r="H135" s="335"/>
      <c r="I135" s="335"/>
      <c r="J135" s="335"/>
      <c r="K135" s="335"/>
      <c r="L135" s="335"/>
      <c r="M135" s="307">
        <v>16815.83</v>
      </c>
      <c r="N135" s="307">
        <v>31303.16</v>
      </c>
      <c r="O135" s="307">
        <v>31303.16</v>
      </c>
      <c r="P135" s="307">
        <v>31303.16</v>
      </c>
      <c r="Q135" s="307">
        <v>31303.16</v>
      </c>
      <c r="R135" s="307">
        <v>31303.16</v>
      </c>
      <c r="S135" s="307">
        <v>30596.12</v>
      </c>
      <c r="T135" s="336"/>
      <c r="U135" s="336"/>
      <c r="V135" s="309">
        <f aca="true" t="shared" si="3" ref="V135:V184">SUM(G135:U135)</f>
        <v>203927.75</v>
      </c>
      <c r="X135" s="310"/>
    </row>
    <row r="136" spans="1:24" s="290" customFormat="1" ht="12.75">
      <c r="A136" s="452"/>
      <c r="B136" s="312" t="s">
        <v>687</v>
      </c>
      <c r="C136" s="446"/>
      <c r="D136" s="448"/>
      <c r="E136" s="450"/>
      <c r="F136" s="315">
        <v>0.00889</v>
      </c>
      <c r="G136" s="316">
        <v>1224.77</v>
      </c>
      <c r="H136" s="317">
        <v>2068</v>
      </c>
      <c r="I136" s="317">
        <v>2073</v>
      </c>
      <c r="J136" s="317">
        <v>2068</v>
      </c>
      <c r="K136" s="317">
        <v>2068</v>
      </c>
      <c r="L136" s="317">
        <v>2068</v>
      </c>
      <c r="M136" s="317">
        <v>2068</v>
      </c>
      <c r="N136" s="317">
        <v>1848</v>
      </c>
      <c r="O136" s="317">
        <v>1531</v>
      </c>
      <c r="P136" s="317">
        <v>1213</v>
      </c>
      <c r="Q136" s="317">
        <v>899</v>
      </c>
      <c r="R136" s="317">
        <v>579</v>
      </c>
      <c r="S136" s="317">
        <v>261</v>
      </c>
      <c r="T136" s="318">
        <v>16</v>
      </c>
      <c r="U136" s="332"/>
      <c r="V136" s="319">
        <f t="shared" si="3"/>
        <v>19984.77</v>
      </c>
      <c r="X136" s="310"/>
    </row>
    <row r="137" spans="1:24" s="290" customFormat="1" ht="12.75" customHeight="1">
      <c r="A137" s="451">
        <v>66</v>
      </c>
      <c r="B137" s="304" t="s">
        <v>522</v>
      </c>
      <c r="C137" s="453" t="s">
        <v>688</v>
      </c>
      <c r="D137" s="454">
        <v>278882.87</v>
      </c>
      <c r="E137" s="457" t="s">
        <v>689</v>
      </c>
      <c r="F137" s="337" t="s">
        <v>519</v>
      </c>
      <c r="G137" s="335"/>
      <c r="H137" s="335"/>
      <c r="I137" s="335"/>
      <c r="J137" s="307">
        <v>5077.52</v>
      </c>
      <c r="K137" s="307">
        <v>24792.12</v>
      </c>
      <c r="L137" s="307">
        <v>24792.12</v>
      </c>
      <c r="M137" s="307">
        <v>24792.12</v>
      </c>
      <c r="N137" s="307">
        <v>24792.12</v>
      </c>
      <c r="O137" s="307">
        <v>24792.12</v>
      </c>
      <c r="P137" s="307">
        <v>24792.12</v>
      </c>
      <c r="Q137" s="307">
        <v>24792.12</v>
      </c>
      <c r="R137" s="307">
        <v>24792.12</v>
      </c>
      <c r="S137" s="307">
        <v>18565.62</v>
      </c>
      <c r="T137" s="336"/>
      <c r="U137" s="336"/>
      <c r="V137" s="309">
        <f t="shared" si="3"/>
        <v>221980.09999999998</v>
      </c>
      <c r="X137" s="310"/>
    </row>
    <row r="138" spans="1:24" s="290" customFormat="1" ht="12.75">
      <c r="A138" s="452"/>
      <c r="B138" s="312" t="s">
        <v>690</v>
      </c>
      <c r="C138" s="446"/>
      <c r="D138" s="448"/>
      <c r="E138" s="450"/>
      <c r="F138" s="315">
        <v>0.00548</v>
      </c>
      <c r="G138" s="316">
        <v>1225.06</v>
      </c>
      <c r="H138" s="317">
        <v>2251</v>
      </c>
      <c r="I138" s="317">
        <v>2257</v>
      </c>
      <c r="J138" s="317">
        <v>2251</v>
      </c>
      <c r="K138" s="317">
        <v>2158</v>
      </c>
      <c r="L138" s="317">
        <v>1909</v>
      </c>
      <c r="M138" s="317">
        <v>1662</v>
      </c>
      <c r="N138" s="317">
        <v>1406</v>
      </c>
      <c r="O138" s="317">
        <v>1155</v>
      </c>
      <c r="P138" s="317">
        <v>904</v>
      </c>
      <c r="Q138" s="317">
        <v>654</v>
      </c>
      <c r="R138" s="317">
        <v>401</v>
      </c>
      <c r="S138" s="317">
        <v>150</v>
      </c>
      <c r="T138" s="332"/>
      <c r="U138" s="332"/>
      <c r="V138" s="319">
        <f t="shared" si="3"/>
        <v>18383.059999999998</v>
      </c>
      <c r="X138" s="310"/>
    </row>
    <row r="139" spans="1:24" s="290" customFormat="1" ht="12.75" customHeight="1">
      <c r="A139" s="451">
        <v>67</v>
      </c>
      <c r="B139" s="304" t="s">
        <v>522</v>
      </c>
      <c r="C139" s="453" t="s">
        <v>691</v>
      </c>
      <c r="D139" s="454">
        <v>151599.88</v>
      </c>
      <c r="E139" s="457" t="s">
        <v>692</v>
      </c>
      <c r="F139" s="337" t="s">
        <v>519</v>
      </c>
      <c r="G139" s="335"/>
      <c r="H139" s="307">
        <v>2109.45</v>
      </c>
      <c r="I139" s="307">
        <v>13477.44</v>
      </c>
      <c r="J139" s="307">
        <v>13477.44</v>
      </c>
      <c r="K139" s="307">
        <v>13477.44</v>
      </c>
      <c r="L139" s="307">
        <v>13477.44</v>
      </c>
      <c r="M139" s="307">
        <v>13477.44</v>
      </c>
      <c r="N139" s="307">
        <v>13477.44</v>
      </c>
      <c r="O139" s="307">
        <v>13477.44</v>
      </c>
      <c r="P139" s="307">
        <v>13477.44</v>
      </c>
      <c r="Q139" s="307">
        <v>13477.44</v>
      </c>
      <c r="R139" s="307">
        <v>13477.44</v>
      </c>
      <c r="S139" s="307">
        <v>10086.76</v>
      </c>
      <c r="T139" s="336"/>
      <c r="U139" s="336"/>
      <c r="V139" s="309">
        <f t="shared" si="3"/>
        <v>146970.61000000002</v>
      </c>
      <c r="X139" s="310"/>
    </row>
    <row r="140" spans="1:24" s="290" customFormat="1" ht="12.75">
      <c r="A140" s="452"/>
      <c r="B140" s="312" t="s">
        <v>693</v>
      </c>
      <c r="C140" s="446"/>
      <c r="D140" s="448"/>
      <c r="E140" s="450"/>
      <c r="F140" s="315">
        <v>0.0055</v>
      </c>
      <c r="G140" s="316">
        <v>583.49</v>
      </c>
      <c r="H140" s="317">
        <v>1490</v>
      </c>
      <c r="I140" s="317">
        <v>1449</v>
      </c>
      <c r="J140" s="317">
        <v>1311</v>
      </c>
      <c r="K140" s="317">
        <v>1175</v>
      </c>
      <c r="L140" s="317">
        <v>1038</v>
      </c>
      <c r="M140" s="317">
        <v>904</v>
      </c>
      <c r="N140" s="317">
        <v>764</v>
      </c>
      <c r="O140" s="317">
        <v>628</v>
      </c>
      <c r="P140" s="317">
        <v>491</v>
      </c>
      <c r="Q140" s="317">
        <v>356</v>
      </c>
      <c r="R140" s="317">
        <v>218</v>
      </c>
      <c r="S140" s="317">
        <v>81</v>
      </c>
      <c r="T140" s="332"/>
      <c r="U140" s="332"/>
      <c r="V140" s="319">
        <f t="shared" si="3"/>
        <v>10488.49</v>
      </c>
      <c r="X140" s="310"/>
    </row>
    <row r="141" spans="1:24" s="290" customFormat="1" ht="12.75" customHeight="1">
      <c r="A141" s="451">
        <v>68</v>
      </c>
      <c r="B141" s="304" t="s">
        <v>522</v>
      </c>
      <c r="C141" s="305" t="s">
        <v>694</v>
      </c>
      <c r="D141" s="454">
        <v>57170.99</v>
      </c>
      <c r="E141" s="457" t="s">
        <v>695</v>
      </c>
      <c r="F141" s="337" t="s">
        <v>519</v>
      </c>
      <c r="G141" s="338">
        <v>19829.53</v>
      </c>
      <c r="H141" s="307"/>
      <c r="I141" s="307"/>
      <c r="J141" s="307"/>
      <c r="K141" s="307"/>
      <c r="L141" s="307"/>
      <c r="M141" s="307">
        <v>1969.63</v>
      </c>
      <c r="N141" s="307">
        <v>5082.48</v>
      </c>
      <c r="O141" s="307">
        <v>5082.48</v>
      </c>
      <c r="P141" s="307">
        <v>5082.48</v>
      </c>
      <c r="Q141" s="307">
        <v>5082.48</v>
      </c>
      <c r="R141" s="307">
        <v>5082.48</v>
      </c>
      <c r="S141" s="307">
        <v>3804.93</v>
      </c>
      <c r="T141" s="336"/>
      <c r="U141" s="336"/>
      <c r="V141" s="309">
        <f t="shared" si="3"/>
        <v>51016.49</v>
      </c>
      <c r="X141" s="310"/>
    </row>
    <row r="142" spans="1:24" s="290" customFormat="1" ht="12.75">
      <c r="A142" s="452"/>
      <c r="B142" s="312" t="s">
        <v>696</v>
      </c>
      <c r="C142" s="313"/>
      <c r="D142" s="448"/>
      <c r="E142" s="450"/>
      <c r="F142" s="315">
        <v>0.00548</v>
      </c>
      <c r="G142" s="316">
        <v>251.99</v>
      </c>
      <c r="H142" s="317">
        <v>316</v>
      </c>
      <c r="I142" s="317">
        <v>317</v>
      </c>
      <c r="J142" s="317">
        <v>316</v>
      </c>
      <c r="K142" s="317">
        <v>316</v>
      </c>
      <c r="L142" s="317">
        <v>316</v>
      </c>
      <c r="M142" s="317">
        <v>317</v>
      </c>
      <c r="N142" s="317">
        <v>288</v>
      </c>
      <c r="O142" s="317">
        <v>237</v>
      </c>
      <c r="P142" s="317">
        <v>185</v>
      </c>
      <c r="Q142" s="317">
        <v>134</v>
      </c>
      <c r="R142" s="317">
        <v>82</v>
      </c>
      <c r="S142" s="317">
        <v>31</v>
      </c>
      <c r="T142" s="332"/>
      <c r="U142" s="332"/>
      <c r="V142" s="319">
        <f t="shared" si="3"/>
        <v>3106.99</v>
      </c>
      <c r="X142" s="310"/>
    </row>
    <row r="143" spans="1:24" s="290" customFormat="1" ht="12.75" customHeight="1">
      <c r="A143" s="451">
        <v>69</v>
      </c>
      <c r="B143" s="304" t="s">
        <v>522</v>
      </c>
      <c r="C143" s="305" t="s">
        <v>697</v>
      </c>
      <c r="D143" s="454">
        <v>48916.98</v>
      </c>
      <c r="E143" s="457" t="s">
        <v>698</v>
      </c>
      <c r="F143" s="337" t="s">
        <v>519</v>
      </c>
      <c r="G143" s="335"/>
      <c r="H143" s="307">
        <v>905.52</v>
      </c>
      <c r="I143" s="307">
        <v>1864</v>
      </c>
      <c r="J143" s="307">
        <v>1864</v>
      </c>
      <c r="K143" s="307">
        <v>1864</v>
      </c>
      <c r="L143" s="307">
        <v>1864</v>
      </c>
      <c r="M143" s="307">
        <v>1864</v>
      </c>
      <c r="N143" s="307">
        <v>1864</v>
      </c>
      <c r="O143" s="307">
        <v>1864</v>
      </c>
      <c r="P143" s="307">
        <v>1864</v>
      </c>
      <c r="Q143" s="307">
        <v>1864</v>
      </c>
      <c r="R143" s="307">
        <v>1864</v>
      </c>
      <c r="S143" s="307">
        <v>1398</v>
      </c>
      <c r="T143" s="336"/>
      <c r="U143" s="336"/>
      <c r="V143" s="309">
        <f t="shared" si="3"/>
        <v>20943.52</v>
      </c>
      <c r="X143" s="310"/>
    </row>
    <row r="144" spans="1:24" s="290" customFormat="1" ht="12.75">
      <c r="A144" s="452"/>
      <c r="B144" s="312" t="s">
        <v>699</v>
      </c>
      <c r="C144" s="313"/>
      <c r="D144" s="448"/>
      <c r="E144" s="450"/>
      <c r="F144" s="315">
        <v>0.0055</v>
      </c>
      <c r="G144" s="316">
        <v>111.13</v>
      </c>
      <c r="H144" s="317">
        <v>212</v>
      </c>
      <c r="I144" s="317">
        <v>213</v>
      </c>
      <c r="J144" s="317">
        <v>212</v>
      </c>
      <c r="K144" s="317">
        <v>212</v>
      </c>
      <c r="L144" s="317">
        <v>212</v>
      </c>
      <c r="M144" s="317">
        <v>213</v>
      </c>
      <c r="N144" s="317">
        <v>197</v>
      </c>
      <c r="O144" s="317">
        <v>161</v>
      </c>
      <c r="P144" s="317">
        <v>124</v>
      </c>
      <c r="Q144" s="317">
        <v>87</v>
      </c>
      <c r="R144" s="317">
        <v>50</v>
      </c>
      <c r="S144" s="317">
        <v>13</v>
      </c>
      <c r="T144" s="332"/>
      <c r="U144" s="332"/>
      <c r="V144" s="319">
        <f t="shared" si="3"/>
        <v>2017.13</v>
      </c>
      <c r="X144" s="310"/>
    </row>
    <row r="145" spans="1:24" s="290" customFormat="1" ht="12.75" customHeight="1">
      <c r="A145" s="451">
        <v>70</v>
      </c>
      <c r="B145" s="304" t="s">
        <v>522</v>
      </c>
      <c r="C145" s="453" t="s">
        <v>700</v>
      </c>
      <c r="D145" s="454">
        <v>28457.44</v>
      </c>
      <c r="E145" s="457" t="s">
        <v>701</v>
      </c>
      <c r="F145" s="337" t="s">
        <v>519</v>
      </c>
      <c r="G145" s="338">
        <v>2703.42</v>
      </c>
      <c r="H145" s="307"/>
      <c r="I145" s="307">
        <v>1728.84</v>
      </c>
      <c r="J145" s="307">
        <v>2532.72</v>
      </c>
      <c r="K145" s="307">
        <v>2532.72</v>
      </c>
      <c r="L145" s="307">
        <v>2532.72</v>
      </c>
      <c r="M145" s="307">
        <v>2532.72</v>
      </c>
      <c r="N145" s="307">
        <v>2532.72</v>
      </c>
      <c r="O145" s="307">
        <v>2532.72</v>
      </c>
      <c r="P145" s="307">
        <v>2532.72</v>
      </c>
      <c r="Q145" s="307">
        <v>2532.72</v>
      </c>
      <c r="R145" s="307">
        <v>2532.72</v>
      </c>
      <c r="S145" s="307">
        <v>1230.7</v>
      </c>
      <c r="T145" s="336"/>
      <c r="U145" s="336"/>
      <c r="V145" s="309">
        <f t="shared" si="3"/>
        <v>28457.440000000002</v>
      </c>
      <c r="X145" s="310"/>
    </row>
    <row r="146" spans="1:24" s="290" customFormat="1" ht="12.75">
      <c r="A146" s="452"/>
      <c r="B146" s="312" t="s">
        <v>702</v>
      </c>
      <c r="C146" s="446"/>
      <c r="D146" s="448"/>
      <c r="E146" s="450"/>
      <c r="F146" s="315">
        <v>0.0055</v>
      </c>
      <c r="G146" s="316">
        <v>141.92</v>
      </c>
      <c r="H146" s="317">
        <v>287</v>
      </c>
      <c r="I146" s="317">
        <v>266</v>
      </c>
      <c r="J146" s="317">
        <v>240</v>
      </c>
      <c r="K146" s="317">
        <v>214</v>
      </c>
      <c r="L146" s="317">
        <v>188</v>
      </c>
      <c r="M146" s="317">
        <v>163</v>
      </c>
      <c r="N146" s="317">
        <v>137</v>
      </c>
      <c r="O146" s="317">
        <v>111</v>
      </c>
      <c r="P146" s="317">
        <v>86</v>
      </c>
      <c r="Q146" s="317">
        <v>60</v>
      </c>
      <c r="R146" s="317">
        <v>34</v>
      </c>
      <c r="S146" s="317">
        <v>9</v>
      </c>
      <c r="T146" s="332"/>
      <c r="U146" s="332"/>
      <c r="V146" s="319">
        <f t="shared" si="3"/>
        <v>1936.92</v>
      </c>
      <c r="X146" s="310"/>
    </row>
    <row r="147" spans="1:24" s="290" customFormat="1" ht="12.75" customHeight="1">
      <c r="A147" s="451">
        <v>71</v>
      </c>
      <c r="B147" s="304" t="s">
        <v>522</v>
      </c>
      <c r="C147" s="305" t="s">
        <v>703</v>
      </c>
      <c r="D147" s="454">
        <v>3434863.47</v>
      </c>
      <c r="E147" s="457" t="s">
        <v>704</v>
      </c>
      <c r="F147" s="337" t="s">
        <v>519</v>
      </c>
      <c r="G147" s="338">
        <v>471548.43</v>
      </c>
      <c r="H147" s="335"/>
      <c r="I147" s="335"/>
      <c r="J147" s="335"/>
      <c r="K147" s="307"/>
      <c r="L147" s="307">
        <v>103995.57</v>
      </c>
      <c r="M147" s="307">
        <v>287772</v>
      </c>
      <c r="N147" s="307">
        <v>287772</v>
      </c>
      <c r="O147" s="307">
        <v>287772</v>
      </c>
      <c r="P147" s="307">
        <v>287772</v>
      </c>
      <c r="Q147" s="307">
        <v>287772</v>
      </c>
      <c r="R147" s="307">
        <v>287772</v>
      </c>
      <c r="S147" s="307">
        <v>215809.67</v>
      </c>
      <c r="T147" s="336"/>
      <c r="U147" s="336"/>
      <c r="V147" s="309">
        <f t="shared" si="3"/>
        <v>2517985.67</v>
      </c>
      <c r="X147" s="310"/>
    </row>
    <row r="148" spans="1:24" s="290" customFormat="1" ht="12.75">
      <c r="A148" s="452"/>
      <c r="B148" s="312" t="s">
        <v>705</v>
      </c>
      <c r="C148" s="313"/>
      <c r="D148" s="448"/>
      <c r="E148" s="450"/>
      <c r="F148" s="315">
        <v>0.00868</v>
      </c>
      <c r="G148" s="316">
        <v>12472.63</v>
      </c>
      <c r="H148" s="317">
        <v>20749</v>
      </c>
      <c r="I148" s="317">
        <v>20805</v>
      </c>
      <c r="J148" s="317">
        <v>20749</v>
      </c>
      <c r="K148" s="317">
        <v>20749</v>
      </c>
      <c r="L148" s="317">
        <v>20739</v>
      </c>
      <c r="M148" s="317">
        <v>19299</v>
      </c>
      <c r="N148" s="317">
        <v>16327</v>
      </c>
      <c r="O148" s="317">
        <v>13409</v>
      </c>
      <c r="P148" s="317">
        <v>10492</v>
      </c>
      <c r="Q148" s="317">
        <v>7596</v>
      </c>
      <c r="R148" s="317">
        <v>4656</v>
      </c>
      <c r="S148" s="317">
        <v>1738</v>
      </c>
      <c r="T148" s="332"/>
      <c r="U148" s="332"/>
      <c r="V148" s="319">
        <f t="shared" si="3"/>
        <v>189780.63</v>
      </c>
      <c r="X148" s="310"/>
    </row>
    <row r="149" spans="1:24" s="290" customFormat="1" ht="12.75" customHeight="1">
      <c r="A149" s="451">
        <v>72</v>
      </c>
      <c r="B149" s="304" t="s">
        <v>522</v>
      </c>
      <c r="C149" s="305" t="s">
        <v>706</v>
      </c>
      <c r="D149" s="454">
        <v>115821.77</v>
      </c>
      <c r="E149" s="457" t="s">
        <v>707</v>
      </c>
      <c r="F149" s="337" t="s">
        <v>519</v>
      </c>
      <c r="G149" s="307">
        <v>5896.39</v>
      </c>
      <c r="H149" s="307">
        <v>5941.92</v>
      </c>
      <c r="I149" s="307">
        <v>5941.92</v>
      </c>
      <c r="J149" s="307">
        <v>5941.92</v>
      </c>
      <c r="K149" s="307">
        <v>5941.92</v>
      </c>
      <c r="L149" s="307">
        <v>5941.92</v>
      </c>
      <c r="M149" s="307">
        <v>5941.92</v>
      </c>
      <c r="N149" s="307">
        <v>5941.92</v>
      </c>
      <c r="O149" s="307">
        <v>5941.92</v>
      </c>
      <c r="P149" s="307">
        <v>5941.92</v>
      </c>
      <c r="Q149" s="307">
        <v>5941.92</v>
      </c>
      <c r="R149" s="307">
        <v>5941.92</v>
      </c>
      <c r="S149" s="307">
        <v>5941.92</v>
      </c>
      <c r="T149" s="307">
        <v>5941.92</v>
      </c>
      <c r="U149" s="308">
        <f>5941.92*5+2970.82</f>
        <v>32680.42</v>
      </c>
      <c r="V149" s="309">
        <f t="shared" si="3"/>
        <v>115821.76999999999</v>
      </c>
      <c r="X149" s="310"/>
    </row>
    <row r="150" spans="1:24" s="290" customFormat="1" ht="12.75">
      <c r="A150" s="452"/>
      <c r="B150" s="312" t="s">
        <v>708</v>
      </c>
      <c r="C150" s="313" t="s">
        <v>709</v>
      </c>
      <c r="D150" s="448"/>
      <c r="E150" s="450"/>
      <c r="F150" s="315">
        <v>0.0055</v>
      </c>
      <c r="G150" s="316">
        <v>669.01</v>
      </c>
      <c r="H150" s="317">
        <v>1105</v>
      </c>
      <c r="I150" s="317">
        <v>1048</v>
      </c>
      <c r="J150" s="317">
        <v>985</v>
      </c>
      <c r="K150" s="317">
        <v>925</v>
      </c>
      <c r="L150" s="317">
        <v>864</v>
      </c>
      <c r="M150" s="317">
        <v>806</v>
      </c>
      <c r="N150" s="317">
        <v>744</v>
      </c>
      <c r="O150" s="317">
        <v>684</v>
      </c>
      <c r="P150" s="317">
        <v>623</v>
      </c>
      <c r="Q150" s="317">
        <v>565</v>
      </c>
      <c r="R150" s="317">
        <v>503</v>
      </c>
      <c r="S150" s="317">
        <v>443</v>
      </c>
      <c r="T150" s="318">
        <v>382</v>
      </c>
      <c r="U150" s="318">
        <f>323+262+202+141+81+21</f>
        <v>1030</v>
      </c>
      <c r="V150" s="319">
        <f t="shared" si="3"/>
        <v>11376.01</v>
      </c>
      <c r="X150" s="310"/>
    </row>
    <row r="151" spans="1:24" s="290" customFormat="1" ht="12.75" customHeight="1">
      <c r="A151" s="451">
        <v>73</v>
      </c>
      <c r="B151" s="304" t="s">
        <v>522</v>
      </c>
      <c r="C151" s="305" t="s">
        <v>710</v>
      </c>
      <c r="D151" s="454">
        <v>202299.65</v>
      </c>
      <c r="E151" s="457" t="s">
        <v>711</v>
      </c>
      <c r="F151" s="337" t="s">
        <v>519</v>
      </c>
      <c r="G151" s="338">
        <v>43331.68</v>
      </c>
      <c r="H151" s="335"/>
      <c r="I151" s="335"/>
      <c r="J151" s="335"/>
      <c r="K151" s="335"/>
      <c r="L151" s="335"/>
      <c r="M151" s="307"/>
      <c r="N151" s="307"/>
      <c r="O151" s="307"/>
      <c r="P151" s="307"/>
      <c r="Q151" s="307">
        <v>2615.29</v>
      </c>
      <c r="R151" s="307">
        <v>11400.04</v>
      </c>
      <c r="S151" s="307">
        <v>11400.04</v>
      </c>
      <c r="T151" s="307">
        <v>11400.04</v>
      </c>
      <c r="U151" s="308">
        <f>11400.04*5+8550.14</f>
        <v>65550.34</v>
      </c>
      <c r="V151" s="309">
        <f>SUM(G151:U151)</f>
        <v>145697.43</v>
      </c>
      <c r="X151" s="310"/>
    </row>
    <row r="152" spans="1:24" s="290" customFormat="1" ht="12.75">
      <c r="A152" s="452"/>
      <c r="B152" s="312" t="s">
        <v>712</v>
      </c>
      <c r="C152" s="313"/>
      <c r="D152" s="448"/>
      <c r="E152" s="450"/>
      <c r="F152" s="315">
        <v>0.0055</v>
      </c>
      <c r="G152" s="316">
        <v>725.65</v>
      </c>
      <c r="H152" s="317">
        <v>1037</v>
      </c>
      <c r="I152" s="317">
        <v>1040</v>
      </c>
      <c r="J152" s="317">
        <v>1037</v>
      </c>
      <c r="K152" s="317">
        <v>1037</v>
      </c>
      <c r="L152" s="317">
        <v>1037</v>
      </c>
      <c r="M152" s="317">
        <v>1040</v>
      </c>
      <c r="N152" s="317">
        <v>1037</v>
      </c>
      <c r="O152" s="317">
        <v>1037</v>
      </c>
      <c r="P152" s="317">
        <v>1037</v>
      </c>
      <c r="Q152" s="317">
        <v>1040</v>
      </c>
      <c r="R152" s="317">
        <v>994</v>
      </c>
      <c r="S152" s="317">
        <v>878</v>
      </c>
      <c r="T152" s="318">
        <v>762</v>
      </c>
      <c r="U152" s="318">
        <f>649+531+416+300+185+69</f>
        <v>2150</v>
      </c>
      <c r="V152" s="319">
        <f t="shared" si="3"/>
        <v>15888.65</v>
      </c>
      <c r="X152" s="310"/>
    </row>
    <row r="153" spans="1:24" s="290" customFormat="1" ht="12.75" customHeight="1">
      <c r="A153" s="451">
        <v>74</v>
      </c>
      <c r="B153" s="304" t="s">
        <v>522</v>
      </c>
      <c r="C153" s="453" t="s">
        <v>713</v>
      </c>
      <c r="D153" s="454">
        <v>836736.84</v>
      </c>
      <c r="E153" s="457" t="s">
        <v>714</v>
      </c>
      <c r="F153" s="337" t="s">
        <v>519</v>
      </c>
      <c r="G153" s="338">
        <f>263022.17+112723.8</f>
        <v>375745.97</v>
      </c>
      <c r="H153" s="335"/>
      <c r="I153" s="307"/>
      <c r="J153" s="307"/>
      <c r="K153" s="307"/>
      <c r="L153" s="307"/>
      <c r="M153" s="307"/>
      <c r="N153" s="307"/>
      <c r="O153" s="307"/>
      <c r="P153" s="307"/>
      <c r="Q153" s="307">
        <v>36541.22</v>
      </c>
      <c r="R153" s="307">
        <v>48508.56</v>
      </c>
      <c r="S153" s="307">
        <v>48508.56</v>
      </c>
      <c r="T153" s="307">
        <v>48508.56</v>
      </c>
      <c r="U153" s="308">
        <v>278923.97</v>
      </c>
      <c r="V153" s="309">
        <f t="shared" si="3"/>
        <v>836736.8399999999</v>
      </c>
      <c r="X153" s="310"/>
    </row>
    <row r="154" spans="1:24" s="290" customFormat="1" ht="12.75">
      <c r="A154" s="452"/>
      <c r="B154" s="312" t="s">
        <v>715</v>
      </c>
      <c r="C154" s="446"/>
      <c r="D154" s="448"/>
      <c r="E154" s="450"/>
      <c r="F154" s="315">
        <v>0.00548</v>
      </c>
      <c r="G154" s="316">
        <v>2700.61</v>
      </c>
      <c r="H154" s="317">
        <v>2327</v>
      </c>
      <c r="I154" s="317">
        <v>2333</v>
      </c>
      <c r="J154" s="317">
        <v>2327</v>
      </c>
      <c r="K154" s="317">
        <v>2327</v>
      </c>
      <c r="L154" s="317">
        <v>2327</v>
      </c>
      <c r="M154" s="317">
        <v>2333</v>
      </c>
      <c r="N154" s="317">
        <v>2327</v>
      </c>
      <c r="O154" s="317">
        <v>2273</v>
      </c>
      <c r="P154" s="317">
        <v>2085</v>
      </c>
      <c r="Q154" s="317">
        <v>1893</v>
      </c>
      <c r="R154" s="317">
        <v>1692</v>
      </c>
      <c r="S154" s="317">
        <v>1493</v>
      </c>
      <c r="T154" s="318">
        <v>1296.51</v>
      </c>
      <c r="U154" s="318">
        <v>3658.97</v>
      </c>
      <c r="V154" s="319">
        <f t="shared" si="3"/>
        <v>33393.09</v>
      </c>
      <c r="X154" s="310"/>
    </row>
    <row r="155" spans="1:24" s="290" customFormat="1" ht="12.75" customHeight="1">
      <c r="A155" s="451">
        <v>75</v>
      </c>
      <c r="B155" s="304" t="s">
        <v>522</v>
      </c>
      <c r="C155" s="453" t="s">
        <v>716</v>
      </c>
      <c r="D155" s="454">
        <v>375727.8</v>
      </c>
      <c r="E155" s="457" t="s">
        <v>717</v>
      </c>
      <c r="F155" s="337" t="s">
        <v>519</v>
      </c>
      <c r="G155" s="335"/>
      <c r="H155" s="335"/>
      <c r="I155" s="335"/>
      <c r="J155" s="335"/>
      <c r="K155" s="335"/>
      <c r="L155" s="335"/>
      <c r="M155" s="335"/>
      <c r="N155" s="307">
        <v>8153.54</v>
      </c>
      <c r="O155" s="307">
        <v>21781.32</v>
      </c>
      <c r="P155" s="307">
        <v>21781.32</v>
      </c>
      <c r="Q155" s="307">
        <v>21781.32</v>
      </c>
      <c r="R155" s="307">
        <v>21781.32</v>
      </c>
      <c r="S155" s="307">
        <v>21781.32</v>
      </c>
      <c r="T155" s="307">
        <v>21781.32</v>
      </c>
      <c r="U155" s="308">
        <f>T155*5+16336.01</f>
        <v>125242.61</v>
      </c>
      <c r="V155" s="309">
        <f t="shared" si="3"/>
        <v>264084.07</v>
      </c>
      <c r="X155" s="310"/>
    </row>
    <row r="156" spans="1:24" s="290" customFormat="1" ht="12.75">
      <c r="A156" s="452"/>
      <c r="B156" s="312" t="s">
        <v>718</v>
      </c>
      <c r="C156" s="446"/>
      <c r="D156" s="448"/>
      <c r="E156" s="450"/>
      <c r="F156" s="315">
        <v>0.00548</v>
      </c>
      <c r="G156" s="316">
        <v>1544.35</v>
      </c>
      <c r="H156" s="317">
        <v>2678</v>
      </c>
      <c r="I156" s="317">
        <v>2685</v>
      </c>
      <c r="J156" s="317">
        <v>2678</v>
      </c>
      <c r="K156" s="317">
        <v>2678</v>
      </c>
      <c r="L156" s="317">
        <v>2678</v>
      </c>
      <c r="M156" s="317">
        <v>2685</v>
      </c>
      <c r="N156" s="317">
        <v>2677</v>
      </c>
      <c r="O156" s="317">
        <v>2561</v>
      </c>
      <c r="P156" s="317">
        <v>2340</v>
      </c>
      <c r="Q156" s="317">
        <v>2125</v>
      </c>
      <c r="R156" s="317">
        <v>1890</v>
      </c>
      <c r="S156" s="317">
        <v>1677</v>
      </c>
      <c r="T156" s="318">
        <v>1457</v>
      </c>
      <c r="U156" s="318">
        <f>1239+1015+794+573+353+132</f>
        <v>4106</v>
      </c>
      <c r="V156" s="319">
        <f t="shared" si="3"/>
        <v>36459.35</v>
      </c>
      <c r="X156" s="310"/>
    </row>
    <row r="157" spans="1:24" s="290" customFormat="1" ht="12.75" customHeight="1">
      <c r="A157" s="451">
        <v>76</v>
      </c>
      <c r="B157" s="304" t="s">
        <v>522</v>
      </c>
      <c r="C157" s="453" t="s">
        <v>719</v>
      </c>
      <c r="D157" s="454">
        <v>284574.36</v>
      </c>
      <c r="E157" s="457" t="s">
        <v>720</v>
      </c>
      <c r="F157" s="337" t="s">
        <v>519</v>
      </c>
      <c r="G157" s="335"/>
      <c r="H157" s="335"/>
      <c r="I157" s="307">
        <v>8205.71</v>
      </c>
      <c r="J157" s="307">
        <v>16499.64</v>
      </c>
      <c r="K157" s="307">
        <v>16499.64</v>
      </c>
      <c r="L157" s="307">
        <v>16499.64</v>
      </c>
      <c r="M157" s="307">
        <v>16499.64</v>
      </c>
      <c r="N157" s="307">
        <v>16499.64</v>
      </c>
      <c r="O157" s="307">
        <v>16499.64</v>
      </c>
      <c r="P157" s="307">
        <v>16499.64</v>
      </c>
      <c r="Q157" s="307">
        <v>16499.64</v>
      </c>
      <c r="R157" s="307">
        <v>16499.64</v>
      </c>
      <c r="S157" s="307">
        <v>16499.64</v>
      </c>
      <c r="T157" s="307">
        <v>16499.64</v>
      </c>
      <c r="U157" s="308">
        <f>T157*5+12374.41</f>
        <v>94872.61</v>
      </c>
      <c r="V157" s="309">
        <f t="shared" si="3"/>
        <v>284574.36</v>
      </c>
      <c r="X157" s="310"/>
    </row>
    <row r="158" spans="1:24" s="290" customFormat="1" ht="12.75">
      <c r="A158" s="452"/>
      <c r="B158" s="312" t="s">
        <v>721</v>
      </c>
      <c r="C158" s="446"/>
      <c r="D158" s="448"/>
      <c r="E158" s="450"/>
      <c r="F158" s="315">
        <v>0.00548</v>
      </c>
      <c r="G158" s="316">
        <v>1562.25</v>
      </c>
      <c r="H158" s="317">
        <v>2885</v>
      </c>
      <c r="I158" s="317">
        <v>2889</v>
      </c>
      <c r="J158" s="317">
        <v>2776</v>
      </c>
      <c r="K158" s="317">
        <v>2609</v>
      </c>
      <c r="L158" s="317">
        <v>2442</v>
      </c>
      <c r="M158" s="317">
        <v>2281</v>
      </c>
      <c r="N158" s="317">
        <v>2107</v>
      </c>
      <c r="O158" s="317">
        <v>1940</v>
      </c>
      <c r="P158" s="317">
        <v>1773</v>
      </c>
      <c r="Q158" s="317">
        <v>1610</v>
      </c>
      <c r="R158" s="317">
        <v>1438</v>
      </c>
      <c r="S158" s="317">
        <v>1271</v>
      </c>
      <c r="T158" s="318">
        <v>1103</v>
      </c>
      <c r="U158" s="318">
        <f>100+268+434+602+769+939</f>
        <v>3112</v>
      </c>
      <c r="V158" s="319">
        <f t="shared" si="3"/>
        <v>31798.25</v>
      </c>
      <c r="X158" s="310"/>
    </row>
    <row r="159" spans="1:24" s="290" customFormat="1" ht="12.75" customHeight="1">
      <c r="A159" s="451">
        <v>77</v>
      </c>
      <c r="B159" s="304" t="s">
        <v>522</v>
      </c>
      <c r="C159" s="453" t="s">
        <v>685</v>
      </c>
      <c r="D159" s="454">
        <v>2264527.52</v>
      </c>
      <c r="E159" s="457" t="s">
        <v>722</v>
      </c>
      <c r="F159" s="337" t="s">
        <v>519</v>
      </c>
      <c r="G159" s="338">
        <v>679837.1</v>
      </c>
      <c r="H159" s="335"/>
      <c r="I159" s="307"/>
      <c r="J159" s="307"/>
      <c r="K159" s="307"/>
      <c r="L159" s="307"/>
      <c r="M159" s="307"/>
      <c r="N159" s="307">
        <v>31870.51</v>
      </c>
      <c r="O159" s="307">
        <v>129401.64</v>
      </c>
      <c r="P159" s="307">
        <v>129401.64</v>
      </c>
      <c r="Q159" s="307">
        <v>129401.64</v>
      </c>
      <c r="R159" s="307">
        <v>129401.64</v>
      </c>
      <c r="S159" s="307">
        <v>129401.64</v>
      </c>
      <c r="T159" s="307">
        <v>129401.64</v>
      </c>
      <c r="U159" s="308">
        <f>T159*5+129401.87</f>
        <v>776410.07</v>
      </c>
      <c r="V159" s="309">
        <f t="shared" si="3"/>
        <v>2264527.5199999996</v>
      </c>
      <c r="X159" s="310"/>
    </row>
    <row r="160" spans="1:24" s="290" customFormat="1" ht="12.75">
      <c r="A160" s="452"/>
      <c r="B160" s="312" t="s">
        <v>723</v>
      </c>
      <c r="C160" s="446"/>
      <c r="D160" s="448"/>
      <c r="E160" s="450"/>
      <c r="F160" s="315">
        <v>0.00636</v>
      </c>
      <c r="G160" s="316">
        <v>3443.32</v>
      </c>
      <c r="H160" s="316">
        <v>16607</v>
      </c>
      <c r="I160" s="316">
        <v>16111</v>
      </c>
      <c r="J160" s="316">
        <v>16067</v>
      </c>
      <c r="K160" s="316">
        <v>16067</v>
      </c>
      <c r="L160" s="316">
        <v>16067</v>
      </c>
      <c r="M160" s="316">
        <v>16111</v>
      </c>
      <c r="N160" s="316">
        <v>16067</v>
      </c>
      <c r="O160" s="316">
        <v>15542</v>
      </c>
      <c r="P160" s="316">
        <v>14230</v>
      </c>
      <c r="Q160" s="316">
        <v>12954</v>
      </c>
      <c r="R160" s="316">
        <v>11606</v>
      </c>
      <c r="S160" s="316">
        <v>10294</v>
      </c>
      <c r="T160" s="332">
        <v>8982</v>
      </c>
      <c r="U160" s="332">
        <f>7691+6358+5046+3734+2429+1110+73</f>
        <v>26441</v>
      </c>
      <c r="V160" s="319">
        <f t="shared" si="3"/>
        <v>216589.32</v>
      </c>
      <c r="X160" s="310"/>
    </row>
    <row r="161" spans="1:24" s="290" customFormat="1" ht="12.75" customHeight="1">
      <c r="A161" s="451">
        <v>78</v>
      </c>
      <c r="B161" s="304" t="s">
        <v>522</v>
      </c>
      <c r="C161" s="453" t="s">
        <v>724</v>
      </c>
      <c r="D161" s="454">
        <v>1123968</v>
      </c>
      <c r="E161" s="457" t="s">
        <v>725</v>
      </c>
      <c r="F161" s="337" t="s">
        <v>519</v>
      </c>
      <c r="G161" s="335"/>
      <c r="H161" s="335"/>
      <c r="I161" s="307">
        <v>31629</v>
      </c>
      <c r="J161" s="307">
        <v>63324</v>
      </c>
      <c r="K161" s="307">
        <v>63324</v>
      </c>
      <c r="L161" s="307">
        <v>63324</v>
      </c>
      <c r="M161" s="307">
        <v>63324</v>
      </c>
      <c r="N161" s="307">
        <v>63324</v>
      </c>
      <c r="O161" s="307">
        <v>63324</v>
      </c>
      <c r="P161" s="307">
        <v>63324</v>
      </c>
      <c r="Q161" s="307">
        <v>63324</v>
      </c>
      <c r="R161" s="307">
        <v>63324</v>
      </c>
      <c r="S161" s="307">
        <v>63324</v>
      </c>
      <c r="T161" s="307">
        <v>63324</v>
      </c>
      <c r="U161" s="308">
        <v>395775</v>
      </c>
      <c r="V161" s="309">
        <f t="shared" si="3"/>
        <v>1123968</v>
      </c>
      <c r="X161" s="310"/>
    </row>
    <row r="162" spans="1:24" s="290" customFormat="1" ht="12.75">
      <c r="A162" s="452"/>
      <c r="B162" s="312" t="s">
        <v>726</v>
      </c>
      <c r="C162" s="446"/>
      <c r="D162" s="448"/>
      <c r="E162" s="450"/>
      <c r="F162" s="315">
        <v>0.00622</v>
      </c>
      <c r="G162" s="316">
        <v>1476.19</v>
      </c>
      <c r="H162" s="316">
        <v>11396</v>
      </c>
      <c r="I162" s="316">
        <v>11409</v>
      </c>
      <c r="J162" s="316">
        <v>10976</v>
      </c>
      <c r="K162" s="316">
        <v>10334</v>
      </c>
      <c r="L162" s="316">
        <v>9692</v>
      </c>
      <c r="M162" s="316">
        <v>9075</v>
      </c>
      <c r="N162" s="316">
        <v>8408</v>
      </c>
      <c r="O162" s="316">
        <v>7766</v>
      </c>
      <c r="P162" s="316">
        <v>7124</v>
      </c>
      <c r="Q162" s="316">
        <v>6500</v>
      </c>
      <c r="R162" s="316">
        <v>5840</v>
      </c>
      <c r="S162" s="316">
        <v>8198</v>
      </c>
      <c r="T162" s="332">
        <v>4556</v>
      </c>
      <c r="U162" s="332">
        <v>13978</v>
      </c>
      <c r="V162" s="319">
        <f t="shared" si="3"/>
        <v>126728.19</v>
      </c>
      <c r="X162" s="310"/>
    </row>
    <row r="163" spans="1:24" s="290" customFormat="1" ht="12.75" customHeight="1">
      <c r="A163" s="451">
        <v>79</v>
      </c>
      <c r="B163" s="304" t="s">
        <v>522</v>
      </c>
      <c r="C163" s="453" t="s">
        <v>727</v>
      </c>
      <c r="D163" s="454">
        <v>1010444</v>
      </c>
      <c r="E163" s="457" t="s">
        <v>728</v>
      </c>
      <c r="F163" s="337" t="s">
        <v>519</v>
      </c>
      <c r="G163" s="338">
        <v>453227.01</v>
      </c>
      <c r="H163" s="335"/>
      <c r="I163" s="307"/>
      <c r="J163" s="307"/>
      <c r="K163" s="307"/>
      <c r="L163" s="307"/>
      <c r="M163" s="307"/>
      <c r="N163" s="307"/>
      <c r="O163" s="307"/>
      <c r="P163" s="307"/>
      <c r="Q163" s="307">
        <v>15351.99</v>
      </c>
      <c r="R163" s="307">
        <v>58580</v>
      </c>
      <c r="S163" s="307">
        <v>58580</v>
      </c>
      <c r="T163" s="307">
        <v>58580</v>
      </c>
      <c r="U163" s="308">
        <v>366125</v>
      </c>
      <c r="V163" s="309">
        <f t="shared" si="3"/>
        <v>1010444</v>
      </c>
      <c r="X163" s="310"/>
    </row>
    <row r="164" spans="1:24" s="290" customFormat="1" ht="12.75">
      <c r="A164" s="452"/>
      <c r="B164" s="312" t="s">
        <v>729</v>
      </c>
      <c r="C164" s="446"/>
      <c r="D164" s="448"/>
      <c r="E164" s="450"/>
      <c r="F164" s="315">
        <v>0.00624</v>
      </c>
      <c r="G164" s="316">
        <v>493.4</v>
      </c>
      <c r="H164" s="316">
        <v>3535</v>
      </c>
      <c r="I164" s="316">
        <v>3535</v>
      </c>
      <c r="J164" s="316">
        <v>3525</v>
      </c>
      <c r="K164" s="316">
        <v>3525</v>
      </c>
      <c r="L164" s="316">
        <v>3525</v>
      </c>
      <c r="M164" s="316">
        <v>3525</v>
      </c>
      <c r="N164" s="316">
        <v>3525</v>
      </c>
      <c r="O164" s="316">
        <v>3525</v>
      </c>
      <c r="P164" s="316">
        <v>3525</v>
      </c>
      <c r="Q164" s="316">
        <v>3535</v>
      </c>
      <c r="R164" s="316">
        <v>3371</v>
      </c>
      <c r="S164" s="316">
        <v>3000</v>
      </c>
      <c r="T164" s="332">
        <v>2630</v>
      </c>
      <c r="U164" s="332">
        <f>8071.29</f>
        <v>8071.29</v>
      </c>
      <c r="V164" s="319">
        <f t="shared" si="3"/>
        <v>52845.69</v>
      </c>
      <c r="X164" s="310"/>
    </row>
    <row r="165" spans="1:23" s="290" customFormat="1" ht="12.75" customHeight="1">
      <c r="A165" s="451">
        <v>80</v>
      </c>
      <c r="B165" s="304" t="s">
        <v>522</v>
      </c>
      <c r="C165" s="453" t="s">
        <v>730</v>
      </c>
      <c r="D165" s="454">
        <v>1617743</v>
      </c>
      <c r="E165" s="455" t="s">
        <v>731</v>
      </c>
      <c r="F165" s="337" t="s">
        <v>519</v>
      </c>
      <c r="G165" s="338">
        <v>154159.65</v>
      </c>
      <c r="H165" s="324"/>
      <c r="I165" s="324"/>
      <c r="J165" s="307"/>
      <c r="K165" s="307">
        <v>33377.35</v>
      </c>
      <c r="L165" s="307">
        <v>93784</v>
      </c>
      <c r="M165" s="307">
        <v>93784</v>
      </c>
      <c r="N165" s="307">
        <v>93784</v>
      </c>
      <c r="O165" s="307">
        <v>93784</v>
      </c>
      <c r="P165" s="307">
        <v>93784</v>
      </c>
      <c r="Q165" s="307">
        <v>93784</v>
      </c>
      <c r="R165" s="307">
        <v>93784</v>
      </c>
      <c r="S165" s="307">
        <v>93784</v>
      </c>
      <c r="T165" s="307">
        <v>93784</v>
      </c>
      <c r="U165" s="308">
        <v>586150</v>
      </c>
      <c r="V165" s="309">
        <f>SUM(G165:U165)</f>
        <v>1617743</v>
      </c>
      <c r="W165" s="310"/>
    </row>
    <row r="166" spans="1:23" s="290" customFormat="1" ht="12.75">
      <c r="A166" s="452"/>
      <c r="B166" s="312" t="s">
        <v>732</v>
      </c>
      <c r="C166" s="446"/>
      <c r="D166" s="448"/>
      <c r="E166" s="456"/>
      <c r="F166" s="315">
        <v>0.00624</v>
      </c>
      <c r="G166" s="316">
        <v>1114.44</v>
      </c>
      <c r="H166" s="325">
        <v>13433</v>
      </c>
      <c r="I166" s="317">
        <v>14880</v>
      </c>
      <c r="J166" s="317">
        <v>14839</v>
      </c>
      <c r="K166" s="317">
        <v>14836</v>
      </c>
      <c r="L166" s="317">
        <v>14354</v>
      </c>
      <c r="M166" s="317">
        <v>13440</v>
      </c>
      <c r="N166" s="317">
        <v>12452</v>
      </c>
      <c r="O166" s="317">
        <v>11502</v>
      </c>
      <c r="P166" s="317">
        <v>10551</v>
      </c>
      <c r="Q166" s="317">
        <v>9627</v>
      </c>
      <c r="R166" s="317">
        <v>8649</v>
      </c>
      <c r="S166" s="317">
        <v>7698</v>
      </c>
      <c r="T166" s="317">
        <v>6747</v>
      </c>
      <c r="U166" s="318">
        <v>20701.63</v>
      </c>
      <c r="V166" s="319">
        <f t="shared" si="3"/>
        <v>174824.07</v>
      </c>
      <c r="W166" s="310"/>
    </row>
    <row r="167" spans="1:23" s="290" customFormat="1" ht="12.75" customHeight="1">
      <c r="A167" s="451">
        <v>81</v>
      </c>
      <c r="B167" s="304" t="s">
        <v>522</v>
      </c>
      <c r="C167" s="453" t="s">
        <v>733</v>
      </c>
      <c r="D167" s="454">
        <v>459602.93</v>
      </c>
      <c r="E167" s="455" t="s">
        <v>734</v>
      </c>
      <c r="F167" s="337" t="s">
        <v>519</v>
      </c>
      <c r="G167" s="338">
        <v>10069.8</v>
      </c>
      <c r="H167" s="324"/>
      <c r="I167" s="324"/>
      <c r="J167" s="307">
        <v>16177.13</v>
      </c>
      <c r="K167" s="307">
        <v>26264</v>
      </c>
      <c r="L167" s="307">
        <v>26264</v>
      </c>
      <c r="M167" s="307">
        <v>26264</v>
      </c>
      <c r="N167" s="307">
        <v>26264</v>
      </c>
      <c r="O167" s="307">
        <v>26264</v>
      </c>
      <c r="P167" s="307">
        <v>26264</v>
      </c>
      <c r="Q167" s="307">
        <v>26264</v>
      </c>
      <c r="R167" s="307">
        <v>26264</v>
      </c>
      <c r="S167" s="307">
        <v>26264</v>
      </c>
      <c r="T167" s="307">
        <v>26264</v>
      </c>
      <c r="U167" s="308">
        <v>170716</v>
      </c>
      <c r="V167" s="309">
        <f>SUM(G167:U167)</f>
        <v>459602.93</v>
      </c>
      <c r="W167" s="310"/>
    </row>
    <row r="168" spans="1:23" s="290" customFormat="1" ht="12.75">
      <c r="A168" s="452"/>
      <c r="B168" s="312" t="s">
        <v>735</v>
      </c>
      <c r="C168" s="446"/>
      <c r="D168" s="448"/>
      <c r="E168" s="456"/>
      <c r="F168" s="315">
        <v>0.0062</v>
      </c>
      <c r="G168" s="316">
        <v>533.58</v>
      </c>
      <c r="H168" s="325">
        <v>3694</v>
      </c>
      <c r="I168" s="317">
        <v>4570</v>
      </c>
      <c r="J168" s="317">
        <v>4547</v>
      </c>
      <c r="K168" s="317">
        <v>4353</v>
      </c>
      <c r="L168" s="317">
        <v>4086</v>
      </c>
      <c r="M168" s="317">
        <v>3831</v>
      </c>
      <c r="N168" s="317">
        <v>3554</v>
      </c>
      <c r="O168" s="317">
        <v>3288</v>
      </c>
      <c r="P168" s="317">
        <v>3021</v>
      </c>
      <c r="Q168" s="317">
        <v>2763</v>
      </c>
      <c r="R168" s="317">
        <v>2489</v>
      </c>
      <c r="S168" s="317">
        <v>2222</v>
      </c>
      <c r="T168" s="317">
        <v>1956</v>
      </c>
      <c r="U168" s="318">
        <v>6245</v>
      </c>
      <c r="V168" s="319">
        <f t="shared" si="3"/>
        <v>51152.58</v>
      </c>
      <c r="W168" s="310"/>
    </row>
    <row r="169" spans="1:23" s="290" customFormat="1" ht="16.5" customHeight="1">
      <c r="A169" s="451">
        <v>82</v>
      </c>
      <c r="B169" s="304" t="s">
        <v>522</v>
      </c>
      <c r="C169" s="453" t="s">
        <v>691</v>
      </c>
      <c r="D169" s="454">
        <v>76765</v>
      </c>
      <c r="E169" s="455" t="s">
        <v>734</v>
      </c>
      <c r="F169" s="337" t="s">
        <v>519</v>
      </c>
      <c r="G169" s="341">
        <v>11498.67</v>
      </c>
      <c r="H169" s="342"/>
      <c r="I169" s="343"/>
      <c r="J169" s="344"/>
      <c r="K169" s="344"/>
      <c r="L169" s="345">
        <v>1640.33</v>
      </c>
      <c r="M169" s="344">
        <v>4388</v>
      </c>
      <c r="N169" s="344">
        <v>4388</v>
      </c>
      <c r="O169" s="344">
        <v>4388</v>
      </c>
      <c r="P169" s="344">
        <v>4388</v>
      </c>
      <c r="Q169" s="344">
        <v>4388</v>
      </c>
      <c r="R169" s="344">
        <v>4388</v>
      </c>
      <c r="S169" s="344">
        <v>4388</v>
      </c>
      <c r="T169" s="344">
        <v>4388</v>
      </c>
      <c r="U169" s="344">
        <v>28522</v>
      </c>
      <c r="V169" s="309">
        <f t="shared" si="3"/>
        <v>76765</v>
      </c>
      <c r="W169" s="310"/>
    </row>
    <row r="170" spans="1:23" s="290" customFormat="1" ht="17.25" customHeight="1">
      <c r="A170" s="452"/>
      <c r="B170" s="312" t="s">
        <v>736</v>
      </c>
      <c r="C170" s="446"/>
      <c r="D170" s="448"/>
      <c r="E170" s="456"/>
      <c r="F170" s="315">
        <v>0.0062</v>
      </c>
      <c r="G170" s="346">
        <v>137.95</v>
      </c>
      <c r="H170" s="347">
        <v>483</v>
      </c>
      <c r="I170" s="348">
        <v>484</v>
      </c>
      <c r="J170" s="349">
        <v>477</v>
      </c>
      <c r="K170" s="349">
        <v>451</v>
      </c>
      <c r="L170" s="349">
        <v>423</v>
      </c>
      <c r="M170" s="349">
        <v>397</v>
      </c>
      <c r="N170" s="349">
        <v>368</v>
      </c>
      <c r="O170" s="349">
        <v>341</v>
      </c>
      <c r="P170" s="349">
        <v>313</v>
      </c>
      <c r="Q170" s="349">
        <v>286</v>
      </c>
      <c r="R170" s="349">
        <v>258</v>
      </c>
      <c r="S170" s="349">
        <v>230</v>
      </c>
      <c r="T170" s="349">
        <v>203</v>
      </c>
      <c r="U170" s="349">
        <v>647</v>
      </c>
      <c r="V170" s="319">
        <f t="shared" si="3"/>
        <v>5498.95</v>
      </c>
      <c r="W170" s="310"/>
    </row>
    <row r="171" spans="1:23" s="290" customFormat="1" ht="12.75">
      <c r="A171" s="303"/>
      <c r="B171" s="350" t="s">
        <v>522</v>
      </c>
      <c r="C171" s="453" t="s">
        <v>737</v>
      </c>
      <c r="D171" s="454">
        <v>6577048</v>
      </c>
      <c r="E171" s="455" t="s">
        <v>738</v>
      </c>
      <c r="F171" s="351" t="s">
        <v>519</v>
      </c>
      <c r="G171" s="352"/>
      <c r="H171" s="324"/>
      <c r="I171" s="353"/>
      <c r="J171" s="353">
        <v>285928</v>
      </c>
      <c r="K171" s="353">
        <v>381280</v>
      </c>
      <c r="L171" s="353">
        <v>381280</v>
      </c>
      <c r="M171" s="353">
        <v>381280</v>
      </c>
      <c r="N171" s="353">
        <v>381280</v>
      </c>
      <c r="O171" s="353">
        <v>381280</v>
      </c>
      <c r="P171" s="353">
        <v>381280</v>
      </c>
      <c r="Q171" s="353">
        <v>381280</v>
      </c>
      <c r="R171" s="353">
        <v>381280</v>
      </c>
      <c r="S171" s="353">
        <v>381280</v>
      </c>
      <c r="T171" s="353">
        <v>381280</v>
      </c>
      <c r="U171" s="353">
        <v>2478320</v>
      </c>
      <c r="V171" s="309">
        <f t="shared" si="3"/>
        <v>6577048</v>
      </c>
      <c r="W171" s="310"/>
    </row>
    <row r="172" spans="1:23" s="290" customFormat="1" ht="12.75">
      <c r="A172" s="311">
        <v>83</v>
      </c>
      <c r="B172" s="350" t="s">
        <v>739</v>
      </c>
      <c r="C172" s="446"/>
      <c r="D172" s="448"/>
      <c r="E172" s="456"/>
      <c r="F172" s="354">
        <v>0.0062</v>
      </c>
      <c r="G172" s="355">
        <v>796.95</v>
      </c>
      <c r="H172" s="325">
        <v>53067</v>
      </c>
      <c r="I172" s="317">
        <v>66867</v>
      </c>
      <c r="J172" s="317">
        <v>66306</v>
      </c>
      <c r="K172" s="317">
        <v>63189</v>
      </c>
      <c r="L172" s="317">
        <v>59323</v>
      </c>
      <c r="M172" s="317">
        <v>55611</v>
      </c>
      <c r="N172" s="317">
        <v>51592</v>
      </c>
      <c r="O172" s="317">
        <v>47726</v>
      </c>
      <c r="P172" s="317">
        <v>43860</v>
      </c>
      <c r="Q172" s="317">
        <v>40106</v>
      </c>
      <c r="R172" s="317">
        <v>36129</v>
      </c>
      <c r="S172" s="317">
        <v>32263</v>
      </c>
      <c r="T172" s="317">
        <v>28397</v>
      </c>
      <c r="U172" s="317">
        <v>90663</v>
      </c>
      <c r="V172" s="319">
        <f t="shared" si="3"/>
        <v>735895.95</v>
      </c>
      <c r="W172" s="310"/>
    </row>
    <row r="173" spans="1:23" s="290" customFormat="1" ht="12.75">
      <c r="A173" s="356"/>
      <c r="B173" s="304" t="s">
        <v>522</v>
      </c>
      <c r="C173" s="453" t="s">
        <v>740</v>
      </c>
      <c r="D173" s="454">
        <v>561890</v>
      </c>
      <c r="E173" s="455" t="s">
        <v>741</v>
      </c>
      <c r="F173" s="337" t="s">
        <v>519</v>
      </c>
      <c r="G173" s="357"/>
      <c r="H173" s="358"/>
      <c r="I173" s="359"/>
      <c r="J173" s="359">
        <v>32108</v>
      </c>
      <c r="K173" s="359">
        <v>32108</v>
      </c>
      <c r="L173" s="359">
        <v>32108</v>
      </c>
      <c r="M173" s="359">
        <v>32108</v>
      </c>
      <c r="N173" s="359">
        <v>32108</v>
      </c>
      <c r="O173" s="359">
        <v>32108</v>
      </c>
      <c r="P173" s="359">
        <v>32108</v>
      </c>
      <c r="Q173" s="359">
        <v>32108</v>
      </c>
      <c r="R173" s="359">
        <v>32108</v>
      </c>
      <c r="S173" s="359">
        <v>32108</v>
      </c>
      <c r="T173" s="359">
        <v>32108</v>
      </c>
      <c r="U173" s="359">
        <v>208702</v>
      </c>
      <c r="V173" s="360">
        <f t="shared" si="3"/>
        <v>561890</v>
      </c>
      <c r="W173" s="310"/>
    </row>
    <row r="174" spans="1:23" s="290" customFormat="1" ht="12.75">
      <c r="A174" s="356">
        <v>84</v>
      </c>
      <c r="B174" s="312" t="s">
        <v>742</v>
      </c>
      <c r="C174" s="446"/>
      <c r="D174" s="448"/>
      <c r="E174" s="456"/>
      <c r="F174" s="361">
        <v>0.00438</v>
      </c>
      <c r="G174" s="357">
        <v>185.39</v>
      </c>
      <c r="H174" s="358">
        <v>2495</v>
      </c>
      <c r="I174" s="359">
        <v>2502</v>
      </c>
      <c r="J174" s="359">
        <v>2465</v>
      </c>
      <c r="K174" s="359">
        <v>2331</v>
      </c>
      <c r="L174" s="359">
        <v>2188</v>
      </c>
      <c r="M174" s="359">
        <v>2051</v>
      </c>
      <c r="N174" s="359">
        <v>1903</v>
      </c>
      <c r="O174" s="359">
        <v>1760</v>
      </c>
      <c r="P174" s="359">
        <v>1618</v>
      </c>
      <c r="Q174" s="359">
        <v>1479</v>
      </c>
      <c r="R174" s="359">
        <v>1333</v>
      </c>
      <c r="S174" s="359">
        <v>1190</v>
      </c>
      <c r="T174" s="359">
        <v>1047</v>
      </c>
      <c r="U174" s="359">
        <v>3344</v>
      </c>
      <c r="V174" s="319">
        <f t="shared" si="3"/>
        <v>27891.39</v>
      </c>
      <c r="W174" s="310"/>
    </row>
    <row r="175" spans="1:23" s="290" customFormat="1" ht="12.75">
      <c r="A175" s="458">
        <v>85</v>
      </c>
      <c r="B175" s="362" t="s">
        <v>522</v>
      </c>
      <c r="C175" s="460" t="s">
        <v>743</v>
      </c>
      <c r="D175" s="462">
        <v>947597</v>
      </c>
      <c r="E175" s="464" t="s">
        <v>744</v>
      </c>
      <c r="F175" s="363" t="s">
        <v>519</v>
      </c>
      <c r="G175" s="364"/>
      <c r="H175" s="364"/>
      <c r="I175" s="364"/>
      <c r="J175" s="365">
        <v>53348</v>
      </c>
      <c r="K175" s="365">
        <v>53388</v>
      </c>
      <c r="L175" s="365">
        <v>53388</v>
      </c>
      <c r="M175" s="365">
        <v>53388</v>
      </c>
      <c r="N175" s="365">
        <v>53388</v>
      </c>
      <c r="O175" s="365">
        <v>53388</v>
      </c>
      <c r="P175" s="365">
        <v>53388</v>
      </c>
      <c r="Q175" s="365">
        <v>53388</v>
      </c>
      <c r="R175" s="365">
        <v>53388</v>
      </c>
      <c r="S175" s="365">
        <v>53388</v>
      </c>
      <c r="T175" s="365">
        <v>53388</v>
      </c>
      <c r="U175" s="365">
        <v>360369</v>
      </c>
      <c r="V175" s="366">
        <f t="shared" si="3"/>
        <v>947597</v>
      </c>
      <c r="W175" s="310"/>
    </row>
    <row r="176" spans="1:23" s="290" customFormat="1" ht="12.75">
      <c r="A176" s="459"/>
      <c r="B176" s="367" t="s">
        <v>745</v>
      </c>
      <c r="C176" s="461"/>
      <c r="D176" s="463"/>
      <c r="E176" s="465"/>
      <c r="F176" s="368">
        <v>0.004</v>
      </c>
      <c r="G176" s="369">
        <v>7.62</v>
      </c>
      <c r="H176" s="370">
        <v>5296</v>
      </c>
      <c r="I176" s="370">
        <v>9634</v>
      </c>
      <c r="J176" s="370">
        <v>9494</v>
      </c>
      <c r="K176" s="370">
        <v>8983</v>
      </c>
      <c r="L176" s="370">
        <v>8442</v>
      </c>
      <c r="M176" s="370">
        <v>7923</v>
      </c>
      <c r="N176" s="370">
        <v>7359</v>
      </c>
      <c r="O176" s="370">
        <v>6818</v>
      </c>
      <c r="P176" s="370">
        <v>6277</v>
      </c>
      <c r="Q176" s="370">
        <v>5751</v>
      </c>
      <c r="R176" s="370">
        <v>5194</v>
      </c>
      <c r="S176" s="370">
        <v>4653</v>
      </c>
      <c r="T176" s="370">
        <v>4112</v>
      </c>
      <c r="U176" s="370">
        <v>13639</v>
      </c>
      <c r="V176" s="371">
        <f t="shared" si="3"/>
        <v>103582.62</v>
      </c>
      <c r="W176" s="310"/>
    </row>
    <row r="177" spans="1:23" s="290" customFormat="1" ht="12.75">
      <c r="A177" s="451">
        <v>86</v>
      </c>
      <c r="B177" s="304" t="s">
        <v>522</v>
      </c>
      <c r="C177" s="453" t="s">
        <v>746</v>
      </c>
      <c r="D177" s="454">
        <v>200000</v>
      </c>
      <c r="E177" s="455" t="s">
        <v>747</v>
      </c>
      <c r="F177" s="337" t="s">
        <v>519</v>
      </c>
      <c r="G177" s="335"/>
      <c r="H177" s="335"/>
      <c r="I177" s="335"/>
      <c r="J177" s="308">
        <v>11261</v>
      </c>
      <c r="K177" s="308">
        <v>11268</v>
      </c>
      <c r="L177" s="308">
        <v>11268</v>
      </c>
      <c r="M177" s="308">
        <v>11268</v>
      </c>
      <c r="N177" s="308">
        <v>11268</v>
      </c>
      <c r="O177" s="308">
        <v>11268</v>
      </c>
      <c r="P177" s="308">
        <v>11268</v>
      </c>
      <c r="Q177" s="308">
        <v>11268</v>
      </c>
      <c r="R177" s="308">
        <v>11268</v>
      </c>
      <c r="S177" s="308">
        <v>11268</v>
      </c>
      <c r="T177" s="308">
        <v>11268</v>
      </c>
      <c r="U177" s="308">
        <v>76059</v>
      </c>
      <c r="V177" s="309">
        <f t="shared" si="3"/>
        <v>200000</v>
      </c>
      <c r="W177" s="310"/>
    </row>
    <row r="178" spans="1:23" s="290" customFormat="1" ht="12.75">
      <c r="A178" s="452"/>
      <c r="B178" s="312" t="s">
        <v>748</v>
      </c>
      <c r="C178" s="446"/>
      <c r="D178" s="448"/>
      <c r="E178" s="456"/>
      <c r="F178" s="315">
        <v>0.00445</v>
      </c>
      <c r="G178" s="316">
        <v>18.47</v>
      </c>
      <c r="H178" s="317">
        <v>1186</v>
      </c>
      <c r="I178" s="317">
        <v>2033</v>
      </c>
      <c r="J178" s="317">
        <v>2004</v>
      </c>
      <c r="K178" s="317">
        <v>1896</v>
      </c>
      <c r="L178" s="317">
        <v>1782</v>
      </c>
      <c r="M178" s="317">
        <v>1672</v>
      </c>
      <c r="N178" s="317">
        <v>1553</v>
      </c>
      <c r="O178" s="317">
        <v>1439</v>
      </c>
      <c r="P178" s="317">
        <v>1325</v>
      </c>
      <c r="Q178" s="317">
        <v>1214</v>
      </c>
      <c r="R178" s="317">
        <v>1096</v>
      </c>
      <c r="S178" s="317">
        <v>982</v>
      </c>
      <c r="T178" s="318">
        <v>868</v>
      </c>
      <c r="U178" s="318">
        <v>2879</v>
      </c>
      <c r="V178" s="319">
        <f t="shared" si="3"/>
        <v>21947.47</v>
      </c>
      <c r="W178" s="310"/>
    </row>
    <row r="179" spans="1:23" s="290" customFormat="1" ht="16.5" customHeight="1">
      <c r="A179" s="372"/>
      <c r="B179" s="339" t="s">
        <v>522</v>
      </c>
      <c r="C179" s="453" t="s">
        <v>749</v>
      </c>
      <c r="D179" s="454">
        <v>219400</v>
      </c>
      <c r="E179" s="457" t="s">
        <v>750</v>
      </c>
      <c r="F179" s="373" t="s">
        <v>519</v>
      </c>
      <c r="G179" s="335"/>
      <c r="H179" s="353"/>
      <c r="I179" s="353"/>
      <c r="J179" s="353">
        <v>6340</v>
      </c>
      <c r="K179" s="353">
        <v>12720</v>
      </c>
      <c r="L179" s="353">
        <v>12720</v>
      </c>
      <c r="M179" s="353">
        <v>12720</v>
      </c>
      <c r="N179" s="353">
        <v>12720</v>
      </c>
      <c r="O179" s="353">
        <v>12720</v>
      </c>
      <c r="P179" s="353">
        <v>12720</v>
      </c>
      <c r="Q179" s="353">
        <v>12720</v>
      </c>
      <c r="R179" s="353">
        <v>12720</v>
      </c>
      <c r="S179" s="353">
        <v>12720</v>
      </c>
      <c r="T179" s="374">
        <v>12720</v>
      </c>
      <c r="U179" s="374">
        <v>85860</v>
      </c>
      <c r="V179" s="309">
        <f t="shared" si="3"/>
        <v>219400</v>
      </c>
      <c r="W179" s="310"/>
    </row>
    <row r="180" spans="1:23" s="290" customFormat="1" ht="18" customHeight="1">
      <c r="A180" s="375">
        <v>87</v>
      </c>
      <c r="B180" s="340" t="s">
        <v>751</v>
      </c>
      <c r="C180" s="446"/>
      <c r="D180" s="448"/>
      <c r="E180" s="450"/>
      <c r="F180" s="376">
        <v>0.00368</v>
      </c>
      <c r="G180" s="316">
        <v>1.49</v>
      </c>
      <c r="H180" s="317">
        <v>1301</v>
      </c>
      <c r="I180" s="317">
        <v>2231</v>
      </c>
      <c r="J180" s="317">
        <v>2224</v>
      </c>
      <c r="K180" s="317">
        <v>2140</v>
      </c>
      <c r="L180" s="317">
        <v>2011</v>
      </c>
      <c r="M180" s="317">
        <v>1888</v>
      </c>
      <c r="N180" s="317">
        <v>1753</v>
      </c>
      <c r="O180" s="317">
        <v>1624</v>
      </c>
      <c r="P180" s="317">
        <v>1495</v>
      </c>
      <c r="Q180" s="317">
        <v>1370</v>
      </c>
      <c r="R180" s="317">
        <v>1238</v>
      </c>
      <c r="S180" s="318">
        <v>1109</v>
      </c>
      <c r="T180" s="318">
        <v>980</v>
      </c>
      <c r="U180" s="318">
        <v>3250</v>
      </c>
      <c r="V180" s="319">
        <f t="shared" si="3"/>
        <v>24615.489999999998</v>
      </c>
      <c r="W180" s="310"/>
    </row>
    <row r="181" spans="1:23" s="290" customFormat="1" ht="12.75">
      <c r="A181" s="356"/>
      <c r="B181" s="350" t="s">
        <v>522</v>
      </c>
      <c r="C181" s="445" t="s">
        <v>752</v>
      </c>
      <c r="D181" s="447">
        <v>658464</v>
      </c>
      <c r="E181" s="449" t="s">
        <v>753</v>
      </c>
      <c r="F181" s="377" t="s">
        <v>519</v>
      </c>
      <c r="G181" s="335"/>
      <c r="H181" s="353"/>
      <c r="I181" s="353"/>
      <c r="J181" s="353">
        <v>19083</v>
      </c>
      <c r="K181" s="353">
        <v>38172</v>
      </c>
      <c r="L181" s="353">
        <v>38172</v>
      </c>
      <c r="M181" s="353">
        <v>38172</v>
      </c>
      <c r="N181" s="353">
        <v>38172</v>
      </c>
      <c r="O181" s="353">
        <v>38172</v>
      </c>
      <c r="P181" s="353">
        <v>38172</v>
      </c>
      <c r="Q181" s="353">
        <v>38172</v>
      </c>
      <c r="R181" s="353">
        <v>38172</v>
      </c>
      <c r="S181" s="353">
        <v>38172</v>
      </c>
      <c r="T181" s="374">
        <v>38172</v>
      </c>
      <c r="U181" s="374">
        <v>257661</v>
      </c>
      <c r="V181" s="309">
        <f t="shared" si="3"/>
        <v>658464</v>
      </c>
      <c r="W181" s="310"/>
    </row>
    <row r="182" spans="1:23" s="290" customFormat="1" ht="12.75">
      <c r="A182" s="356">
        <v>88</v>
      </c>
      <c r="B182" s="350" t="s">
        <v>754</v>
      </c>
      <c r="C182" s="446"/>
      <c r="D182" s="448"/>
      <c r="E182" s="450"/>
      <c r="F182" s="377">
        <v>0.00368</v>
      </c>
      <c r="G182" s="316">
        <v>0</v>
      </c>
      <c r="H182" s="317">
        <v>3905</v>
      </c>
      <c r="I182" s="317">
        <v>6694</v>
      </c>
      <c r="J182" s="317">
        <v>6673</v>
      </c>
      <c r="K182" s="317">
        <v>6423</v>
      </c>
      <c r="L182" s="317">
        <v>6036</v>
      </c>
      <c r="M182" s="317">
        <v>5665</v>
      </c>
      <c r="N182" s="317">
        <v>5262</v>
      </c>
      <c r="O182" s="317">
        <v>4875</v>
      </c>
      <c r="P182" s="317">
        <v>4488</v>
      </c>
      <c r="Q182" s="317">
        <v>4112</v>
      </c>
      <c r="R182" s="317">
        <v>3714</v>
      </c>
      <c r="S182" s="317">
        <v>3327</v>
      </c>
      <c r="T182" s="318">
        <v>2940</v>
      </c>
      <c r="U182" s="318">
        <v>9752</v>
      </c>
      <c r="V182" s="319">
        <f t="shared" si="3"/>
        <v>73866</v>
      </c>
      <c r="W182" s="310"/>
    </row>
    <row r="183" spans="1:24" s="290" customFormat="1" ht="12.75" customHeight="1">
      <c r="A183" s="451">
        <v>87</v>
      </c>
      <c r="B183" s="304" t="s">
        <v>522</v>
      </c>
      <c r="C183" s="453" t="s">
        <v>755</v>
      </c>
      <c r="D183" s="454">
        <f>648428+43236+401001</f>
        <v>1092665</v>
      </c>
      <c r="E183" s="455"/>
      <c r="F183" s="337" t="s">
        <v>519</v>
      </c>
      <c r="G183" s="335"/>
      <c r="H183" s="335"/>
      <c r="I183" s="335"/>
      <c r="J183" s="308">
        <v>63344</v>
      </c>
      <c r="K183" s="308">
        <v>63344</v>
      </c>
      <c r="L183" s="308">
        <v>63344</v>
      </c>
      <c r="M183" s="308">
        <v>63344</v>
      </c>
      <c r="N183" s="308">
        <v>63344</v>
      </c>
      <c r="O183" s="308">
        <v>63344</v>
      </c>
      <c r="P183" s="308">
        <v>63344</v>
      </c>
      <c r="Q183" s="308">
        <v>63344</v>
      </c>
      <c r="R183" s="308">
        <v>63344</v>
      </c>
      <c r="S183" s="308">
        <v>63344</v>
      </c>
      <c r="T183" s="308">
        <v>63344</v>
      </c>
      <c r="U183" s="308">
        <v>395881</v>
      </c>
      <c r="V183" s="309">
        <f t="shared" si="3"/>
        <v>1092665</v>
      </c>
      <c r="X183" s="310"/>
    </row>
    <row r="184" spans="1:24" s="290" customFormat="1" ht="12.75">
      <c r="A184" s="452"/>
      <c r="B184" s="312"/>
      <c r="C184" s="446"/>
      <c r="D184" s="448"/>
      <c r="E184" s="456"/>
      <c r="F184" s="315">
        <v>0.0062</v>
      </c>
      <c r="G184" s="316">
        <v>0</v>
      </c>
      <c r="H184" s="317">
        <v>11078</v>
      </c>
      <c r="I184" s="317">
        <v>11109</v>
      </c>
      <c r="J184" s="317">
        <v>10944</v>
      </c>
      <c r="K184" s="317">
        <v>10377</v>
      </c>
      <c r="L184" s="317">
        <v>9695</v>
      </c>
      <c r="M184" s="317">
        <v>9078</v>
      </c>
      <c r="N184" s="317">
        <v>8410</v>
      </c>
      <c r="O184" s="317">
        <v>7768</v>
      </c>
      <c r="P184" s="317">
        <v>7126</v>
      </c>
      <c r="Q184" s="317">
        <v>6502</v>
      </c>
      <c r="R184" s="317">
        <v>5842</v>
      </c>
      <c r="S184" s="317">
        <v>5199</v>
      </c>
      <c r="T184" s="318">
        <v>4557</v>
      </c>
      <c r="U184" s="318">
        <v>13981</v>
      </c>
      <c r="V184" s="319">
        <f t="shared" si="3"/>
        <v>121666</v>
      </c>
      <c r="X184" s="310"/>
    </row>
    <row r="185" spans="1:23" ht="12.75">
      <c r="A185" s="378"/>
      <c r="B185" s="435" t="s">
        <v>756</v>
      </c>
      <c r="C185" s="436"/>
      <c r="D185" s="436"/>
      <c r="E185" s="437"/>
      <c r="F185" s="379"/>
      <c r="G185" s="380">
        <f>SUM(G7+G9+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+G159+G161+G163+G165+G167+G169+G171+G173+G175+G177+G179+G181)+1277719.07</f>
        <v>6257224.000000001</v>
      </c>
      <c r="H185" s="380">
        <f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159+H161+H163+H165+H167+H169+H171+H183+H173+H175+H177+H179+H181)</f>
        <v>4601711.42</v>
      </c>
      <c r="I185" s="380">
        <f aca="true" t="shared" si="4" ref="I185:U186">SUM(I7+I9+I11+I13+I15+I17+I19+I21+I23+I25+I27+I29+I31+I33+I35+I37+I39+I41+I43+I45+I47+I49+I51+I53+I55+I57+I59+I61+I63+I65+I67+I69+I71+I73+I75+I77+I79+I81+I83+I85+I87+I89+I91+I93+I95+I97+I99+I101+I103+I105+I107+I109+I111+I113+I115+I117+I119+I121+I123+I125+I127+I129+I131+I133+I135+I137+I139+I141+I143+I145+I147+I149+I151+I153+I155+I157+I159+I161+I163+I165+I167+I169+I171+I183+I173+I175+I177+I179+I181)</f>
        <v>4570176.020000001</v>
      </c>
      <c r="J185" s="380">
        <f t="shared" si="4"/>
        <v>4973790.629999999</v>
      </c>
      <c r="K185" s="380">
        <f t="shared" si="4"/>
        <v>5399946.25</v>
      </c>
      <c r="L185" s="380">
        <f t="shared" si="4"/>
        <v>5565988.800000001</v>
      </c>
      <c r="M185" s="380">
        <f t="shared" si="4"/>
        <v>5771298.36</v>
      </c>
      <c r="N185" s="380">
        <f t="shared" si="4"/>
        <v>5710228.23</v>
      </c>
      <c r="O185" s="380">
        <f t="shared" si="4"/>
        <v>4908238.150000001</v>
      </c>
      <c r="P185" s="380">
        <f t="shared" si="4"/>
        <v>4521908.3100000005</v>
      </c>
      <c r="Q185" s="380">
        <f t="shared" si="4"/>
        <v>4251059.67</v>
      </c>
      <c r="R185" s="380">
        <f t="shared" si="4"/>
        <v>4151478.52</v>
      </c>
      <c r="S185" s="380">
        <f t="shared" si="4"/>
        <v>3812036.5300000003</v>
      </c>
      <c r="T185" s="380">
        <f t="shared" si="4"/>
        <v>1978097.93</v>
      </c>
      <c r="U185" s="380">
        <f t="shared" si="4"/>
        <v>7359671.04</v>
      </c>
      <c r="V185" s="381">
        <f>SUM(G185:U185)</f>
        <v>73832853.86000001</v>
      </c>
      <c r="W185" s="287"/>
    </row>
    <row r="186" spans="1:22" ht="13.5" thickBot="1">
      <c r="A186" s="382"/>
      <c r="B186" s="438" t="s">
        <v>757</v>
      </c>
      <c r="C186" s="438"/>
      <c r="D186" s="438"/>
      <c r="E186" s="438"/>
      <c r="F186" s="383"/>
      <c r="G186" s="384">
        <f>SUM(G8+G10+G12+G14+G16+G18+G20+G22+G24+G26+G28+G30+G32+G34+G36+G38+G40+G42+G44+G46+G48+G50+G52+G54+G56+G58+G60+G62+G64+G66+G68+G70+G72+G74+G76+G78+G80+G82+G84+G86+G88+G90+G92+G94+G96+G98+G100+G102+G104+G106+G108+G110+G112+G114+G116+G118+G120+G122+G124+G126+G128+G130+G132+G134+G136+G138+G140+G142+G144+G146+G148+G150+G152+G154+G156+G158+G160+G162+G164+G166+G168+G170+G172+G174+G176+G178+G180+G182)+46568.48</f>
        <v>406895.00000000006</v>
      </c>
      <c r="H186" s="385">
        <f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+H156+H158+H160+H162+H164+H166+H168+H170+H172+H184+H174+H176+H178+H180+H182)</f>
        <v>646474</v>
      </c>
      <c r="I186" s="385">
        <f t="shared" si="4"/>
        <v>625967</v>
      </c>
      <c r="J186" s="385">
        <f t="shared" si="4"/>
        <v>577127</v>
      </c>
      <c r="K186" s="385">
        <f t="shared" si="4"/>
        <v>526113</v>
      </c>
      <c r="L186" s="385">
        <f t="shared" si="4"/>
        <v>471490</v>
      </c>
      <c r="M186" s="385">
        <f t="shared" si="4"/>
        <v>415945</v>
      </c>
      <c r="N186" s="385">
        <f t="shared" si="4"/>
        <v>356644</v>
      </c>
      <c r="O186" s="385">
        <f t="shared" si="4"/>
        <v>299580</v>
      </c>
      <c r="P186" s="385">
        <f t="shared" si="4"/>
        <v>250706</v>
      </c>
      <c r="Q186" s="385">
        <f t="shared" si="4"/>
        <v>205991</v>
      </c>
      <c r="R186" s="385">
        <f t="shared" si="4"/>
        <v>162926</v>
      </c>
      <c r="S186" s="385">
        <f t="shared" si="4"/>
        <v>124732</v>
      </c>
      <c r="T186" s="385">
        <f t="shared" si="4"/>
        <v>86378.51000000001</v>
      </c>
      <c r="U186" s="385">
        <f t="shared" si="4"/>
        <v>234360.89</v>
      </c>
      <c r="V186" s="386">
        <f>SUM(G186:U186)</f>
        <v>5391329.399999999</v>
      </c>
    </row>
    <row r="187" spans="1:22" ht="13.5" thickTop="1">
      <c r="A187" s="387"/>
      <c r="B187" s="439" t="s">
        <v>758</v>
      </c>
      <c r="C187" s="440"/>
      <c r="D187" s="440"/>
      <c r="E187" s="440"/>
      <c r="F187" s="388"/>
      <c r="G187" s="389">
        <f aca="true" t="shared" si="5" ref="G187:V187">SUM(G185:G186)</f>
        <v>6664119.000000001</v>
      </c>
      <c r="H187" s="390">
        <f t="shared" si="5"/>
        <v>5248185.42</v>
      </c>
      <c r="I187" s="390">
        <f t="shared" si="5"/>
        <v>5196143.020000001</v>
      </c>
      <c r="J187" s="390">
        <f t="shared" si="5"/>
        <v>5550917.629999999</v>
      </c>
      <c r="K187" s="390">
        <f t="shared" si="5"/>
        <v>5926059.25</v>
      </c>
      <c r="L187" s="390">
        <f t="shared" si="5"/>
        <v>6037478.800000001</v>
      </c>
      <c r="M187" s="390">
        <f t="shared" si="5"/>
        <v>6187243.36</v>
      </c>
      <c r="N187" s="390">
        <f t="shared" si="5"/>
        <v>6066872.23</v>
      </c>
      <c r="O187" s="390">
        <f t="shared" si="5"/>
        <v>5207818.150000001</v>
      </c>
      <c r="P187" s="390">
        <f t="shared" si="5"/>
        <v>4772614.3100000005</v>
      </c>
      <c r="Q187" s="390">
        <f t="shared" si="5"/>
        <v>4457050.67</v>
      </c>
      <c r="R187" s="390">
        <f t="shared" si="5"/>
        <v>4314404.52</v>
      </c>
      <c r="S187" s="390">
        <f t="shared" si="5"/>
        <v>3936768.5300000003</v>
      </c>
      <c r="T187" s="390">
        <f t="shared" si="5"/>
        <v>2064476.44</v>
      </c>
      <c r="U187" s="390">
        <f t="shared" si="5"/>
        <v>7594031.93</v>
      </c>
      <c r="V187" s="391">
        <f t="shared" si="5"/>
        <v>79224183.26000002</v>
      </c>
    </row>
    <row r="188" spans="1:22" ht="12.75">
      <c r="A188" s="392"/>
      <c r="B188" s="441" t="s">
        <v>759</v>
      </c>
      <c r="C188" s="442"/>
      <c r="D188" s="412" t="s">
        <v>760</v>
      </c>
      <c r="E188" s="393">
        <v>38035917</v>
      </c>
      <c r="F188" s="394" t="s">
        <v>761</v>
      </c>
      <c r="G188" s="395">
        <f>SUM(G187/$E$188)</f>
        <v>0.17520595073335554</v>
      </c>
      <c r="H188" s="395">
        <f>SUM(H187/$E$188)</f>
        <v>0.1379797263728386</v>
      </c>
      <c r="I188" s="395">
        <f>SUM(I187/$E$188)</f>
        <v>0.1366114827729801</v>
      </c>
      <c r="J188" s="395">
        <f>SUM(J187/$E$188)</f>
        <v>0.14593884064895818</v>
      </c>
      <c r="K188" s="395">
        <f aca="true" t="shared" si="6" ref="K188:V188">SUM(K187/$E$188)</f>
        <v>0.15580166635656503</v>
      </c>
      <c r="L188" s="395">
        <f t="shared" si="6"/>
        <v>0.15873099102619245</v>
      </c>
      <c r="M188" s="395">
        <f t="shared" si="6"/>
        <v>0.16266844204124223</v>
      </c>
      <c r="N188" s="395">
        <f t="shared" si="6"/>
        <v>0.1595037719216813</v>
      </c>
      <c r="O188" s="395">
        <f t="shared" si="6"/>
        <v>0.13691843291171346</v>
      </c>
      <c r="P188" s="395">
        <f t="shared" si="6"/>
        <v>0.1254765150002825</v>
      </c>
      <c r="Q188" s="395">
        <f t="shared" si="6"/>
        <v>0.11718005037186299</v>
      </c>
      <c r="R188" s="395">
        <f t="shared" si="6"/>
        <v>0.11342974904483043</v>
      </c>
      <c r="S188" s="395">
        <f t="shared" si="6"/>
        <v>0.10350134400598256</v>
      </c>
      <c r="T188" s="395">
        <f t="shared" si="6"/>
        <v>0.0542770255808477</v>
      </c>
      <c r="U188" s="395">
        <f t="shared" si="6"/>
        <v>0.19965423549536088</v>
      </c>
      <c r="V188" s="396">
        <f t="shared" si="6"/>
        <v>2.0828782242846944</v>
      </c>
    </row>
    <row r="190" spans="3:22" ht="18.75">
      <c r="C190" s="443" t="s">
        <v>762</v>
      </c>
      <c r="D190" s="443"/>
      <c r="E190" s="443"/>
      <c r="F190" s="397"/>
      <c r="G190" s="397">
        <f>G117+G141+G145+G147+G151+G163+G169+G159+G165+G167+G153</f>
        <v>2223875.99</v>
      </c>
      <c r="L190" s="398" t="s">
        <v>307</v>
      </c>
      <c r="M190" s="399"/>
      <c r="N190" s="400"/>
      <c r="V190" s="401" t="s">
        <v>308</v>
      </c>
    </row>
    <row r="191" spans="1:22" ht="22.5" customHeight="1">
      <c r="A191" s="402"/>
      <c r="B191" s="444"/>
      <c r="C191" s="444"/>
      <c r="G191" s="403"/>
      <c r="H191" s="404"/>
      <c r="I191" s="404"/>
      <c r="J191" s="404"/>
      <c r="K191" s="404"/>
      <c r="L191" s="404"/>
      <c r="M191" s="404"/>
      <c r="N191" s="404"/>
      <c r="O191" s="404"/>
      <c r="P191" s="404"/>
      <c r="Q191" s="404"/>
      <c r="R191" s="404"/>
      <c r="S191" s="404"/>
      <c r="T191" s="404"/>
      <c r="U191" s="404"/>
      <c r="V191" s="404"/>
    </row>
    <row r="192" spans="1:24" ht="25.5" customHeight="1">
      <c r="A192" s="405"/>
      <c r="B192" s="431"/>
      <c r="C192" s="431"/>
      <c r="D192" s="406"/>
      <c r="E192" s="406"/>
      <c r="F192" s="406"/>
      <c r="G192" s="407"/>
      <c r="H192" s="406"/>
      <c r="I192" s="406"/>
      <c r="J192" s="406"/>
      <c r="K192" s="406"/>
      <c r="L192" s="406"/>
      <c r="M192" s="406"/>
      <c r="N192" s="406"/>
      <c r="O192" s="406"/>
      <c r="P192" s="406"/>
      <c r="Q192" s="406"/>
      <c r="R192" s="406"/>
      <c r="S192" s="406"/>
      <c r="T192" s="406"/>
      <c r="U192" s="406"/>
      <c r="V192" s="406"/>
      <c r="W192" s="359"/>
      <c r="X192" s="408"/>
    </row>
    <row r="193" spans="1:24" ht="12.75">
      <c r="A193" s="409"/>
      <c r="B193" s="432"/>
      <c r="C193" s="432"/>
      <c r="D193" s="406"/>
      <c r="E193" s="406"/>
      <c r="F193" s="406"/>
      <c r="G193" s="407"/>
      <c r="H193" s="406"/>
      <c r="I193" s="406"/>
      <c r="J193" s="406"/>
      <c r="K193" s="406"/>
      <c r="L193" s="406"/>
      <c r="M193" s="406"/>
      <c r="N193" s="406"/>
      <c r="O193" s="406"/>
      <c r="P193" s="406"/>
      <c r="Q193" s="406"/>
      <c r="R193" s="406"/>
      <c r="S193" s="406"/>
      <c r="T193" s="406"/>
      <c r="U193" s="406"/>
      <c r="V193" s="406"/>
      <c r="W193" s="359"/>
      <c r="X193" s="408"/>
    </row>
    <row r="194" spans="1:23" ht="26.25" customHeight="1">
      <c r="A194" s="409"/>
      <c r="B194" s="433"/>
      <c r="C194" s="433"/>
      <c r="D194" s="406"/>
      <c r="E194" s="406"/>
      <c r="F194" s="406"/>
      <c r="G194" s="407"/>
      <c r="H194" s="406"/>
      <c r="I194" s="406"/>
      <c r="J194" s="406"/>
      <c r="K194" s="406"/>
      <c r="L194" s="406"/>
      <c r="M194" s="406"/>
      <c r="N194" s="406"/>
      <c r="O194" s="406"/>
      <c r="P194" s="406"/>
      <c r="Q194" s="406"/>
      <c r="R194" s="406"/>
      <c r="S194" s="406"/>
      <c r="T194" s="406"/>
      <c r="U194" s="406"/>
      <c r="V194" s="406"/>
      <c r="W194" s="289"/>
    </row>
    <row r="195" spans="1:22" ht="12.75">
      <c r="A195" s="409"/>
      <c r="B195" s="434"/>
      <c r="C195" s="434"/>
      <c r="D195" s="406"/>
      <c r="E195" s="406"/>
      <c r="F195" s="406"/>
      <c r="G195" s="407"/>
      <c r="H195" s="406"/>
      <c r="I195" s="406"/>
      <c r="J195" s="406"/>
      <c r="K195" s="406"/>
      <c r="L195" s="406"/>
      <c r="M195" s="406"/>
      <c r="N195" s="406"/>
      <c r="O195" s="406"/>
      <c r="P195" s="406"/>
      <c r="Q195" s="406"/>
      <c r="R195" s="406"/>
      <c r="S195" s="406"/>
      <c r="T195" s="406"/>
      <c r="U195" s="406"/>
      <c r="V195" s="406"/>
    </row>
    <row r="196" spans="1:22" ht="12.75" customHeight="1">
      <c r="A196" s="409"/>
      <c r="B196" s="434"/>
      <c r="C196" s="434"/>
      <c r="D196" s="406"/>
      <c r="E196" s="406"/>
      <c r="F196" s="406"/>
      <c r="G196" s="407"/>
      <c r="H196" s="406"/>
      <c r="I196" s="406"/>
      <c r="J196" s="406"/>
      <c r="K196" s="406"/>
      <c r="L196" s="406"/>
      <c r="M196" s="406"/>
      <c r="N196" s="406"/>
      <c r="O196" s="406"/>
      <c r="P196" s="406"/>
      <c r="Q196" s="406"/>
      <c r="R196" s="406"/>
      <c r="S196" s="406"/>
      <c r="T196" s="406"/>
      <c r="U196" s="406"/>
      <c r="V196" s="406"/>
    </row>
    <row r="197" spans="1:22" ht="12.75">
      <c r="A197" s="409"/>
      <c r="B197" s="434"/>
      <c r="C197" s="434"/>
      <c r="D197" s="406"/>
      <c r="E197" s="406"/>
      <c r="F197" s="406"/>
      <c r="G197" s="407"/>
      <c r="H197" s="406"/>
      <c r="I197" s="406"/>
      <c r="J197" s="406"/>
      <c r="K197" s="406"/>
      <c r="L197" s="406"/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</row>
    <row r="198" spans="2:4" ht="12.75">
      <c r="B198" s="334"/>
      <c r="C198" s="410"/>
      <c r="D198" s="411"/>
    </row>
    <row r="199" spans="2:4" ht="12.75">
      <c r="B199" s="334"/>
      <c r="C199" s="410"/>
      <c r="D199" s="411"/>
    </row>
  </sheetData>
  <sheetProtection/>
  <mergeCells count="316">
    <mergeCell ref="A4:J4"/>
    <mergeCell ref="A5:A6"/>
    <mergeCell ref="B5:B6"/>
    <mergeCell ref="C5:C6"/>
    <mergeCell ref="A7:A8"/>
    <mergeCell ref="C7:C8"/>
    <mergeCell ref="D7:D8"/>
    <mergeCell ref="A9:A10"/>
    <mergeCell ref="C9:C10"/>
    <mergeCell ref="D9:D10"/>
    <mergeCell ref="A11:A12"/>
    <mergeCell ref="C11:C12"/>
    <mergeCell ref="D11:D12"/>
    <mergeCell ref="A13:A14"/>
    <mergeCell ref="C13:C14"/>
    <mergeCell ref="D13:D14"/>
    <mergeCell ref="A15:A16"/>
    <mergeCell ref="C15:C16"/>
    <mergeCell ref="D15:D16"/>
    <mergeCell ref="A17:A18"/>
    <mergeCell ref="C17:C18"/>
    <mergeCell ref="D17:D18"/>
    <mergeCell ref="A19:A20"/>
    <mergeCell ref="C19:C20"/>
    <mergeCell ref="D19:D20"/>
    <mergeCell ref="A21:A22"/>
    <mergeCell ref="C21:C22"/>
    <mergeCell ref="D21:D22"/>
    <mergeCell ref="A23:A24"/>
    <mergeCell ref="C23:C24"/>
    <mergeCell ref="D23:D24"/>
    <mergeCell ref="A25:A26"/>
    <mergeCell ref="C25:C26"/>
    <mergeCell ref="D25:D26"/>
    <mergeCell ref="A27:A28"/>
    <mergeCell ref="C27:C28"/>
    <mergeCell ref="D27:D28"/>
    <mergeCell ref="A29:A30"/>
    <mergeCell ref="C29:C30"/>
    <mergeCell ref="D29:D30"/>
    <mergeCell ref="A31:A32"/>
    <mergeCell ref="C31:C32"/>
    <mergeCell ref="D31:D32"/>
    <mergeCell ref="A33:A34"/>
    <mergeCell ref="C33:C34"/>
    <mergeCell ref="D33:D34"/>
    <mergeCell ref="A35:A36"/>
    <mergeCell ref="C35:C36"/>
    <mergeCell ref="D35:D36"/>
    <mergeCell ref="A37:A38"/>
    <mergeCell ref="C37:C38"/>
    <mergeCell ref="D37:D38"/>
    <mergeCell ref="A39:A40"/>
    <mergeCell ref="C39:C40"/>
    <mergeCell ref="D39:D40"/>
    <mergeCell ref="A41:A42"/>
    <mergeCell ref="C41:C42"/>
    <mergeCell ref="D41:D42"/>
    <mergeCell ref="A43:A44"/>
    <mergeCell ref="C43:C44"/>
    <mergeCell ref="D43:D44"/>
    <mergeCell ref="A45:A46"/>
    <mergeCell ref="C45:C46"/>
    <mergeCell ref="D45:D46"/>
    <mergeCell ref="A47:A48"/>
    <mergeCell ref="C47:C48"/>
    <mergeCell ref="D47:D48"/>
    <mergeCell ref="A49:A50"/>
    <mergeCell ref="C49:C50"/>
    <mergeCell ref="D49:D50"/>
    <mergeCell ref="A51:A52"/>
    <mergeCell ref="C51:C52"/>
    <mergeCell ref="D51:D52"/>
    <mergeCell ref="A53:A54"/>
    <mergeCell ref="C53:C54"/>
    <mergeCell ref="D53:D54"/>
    <mergeCell ref="A55:A56"/>
    <mergeCell ref="C55:C56"/>
    <mergeCell ref="D55:D56"/>
    <mergeCell ref="A57:A58"/>
    <mergeCell ref="C57:C58"/>
    <mergeCell ref="D57:D58"/>
    <mergeCell ref="A59:A60"/>
    <mergeCell ref="C59:C60"/>
    <mergeCell ref="D59:D60"/>
    <mergeCell ref="A61:A62"/>
    <mergeCell ref="C61:C62"/>
    <mergeCell ref="D61:D62"/>
    <mergeCell ref="A63:A64"/>
    <mergeCell ref="C63:C64"/>
    <mergeCell ref="D63:D64"/>
    <mergeCell ref="A65:A66"/>
    <mergeCell ref="C65:C66"/>
    <mergeCell ref="D65:D66"/>
    <mergeCell ref="A67:A68"/>
    <mergeCell ref="C67:C68"/>
    <mergeCell ref="D67:D68"/>
    <mergeCell ref="A69:A70"/>
    <mergeCell ref="C69:C70"/>
    <mergeCell ref="D69:D70"/>
    <mergeCell ref="A71:A72"/>
    <mergeCell ref="C71:C72"/>
    <mergeCell ref="D71:D72"/>
    <mergeCell ref="A73:A74"/>
    <mergeCell ref="C73:C74"/>
    <mergeCell ref="D73:D74"/>
    <mergeCell ref="A75:A76"/>
    <mergeCell ref="C75:C76"/>
    <mergeCell ref="D75:D76"/>
    <mergeCell ref="A77:A78"/>
    <mergeCell ref="C77:C78"/>
    <mergeCell ref="D77:D78"/>
    <mergeCell ref="A79:A80"/>
    <mergeCell ref="C79:C80"/>
    <mergeCell ref="D79:D80"/>
    <mergeCell ref="A81:A82"/>
    <mergeCell ref="C81:C82"/>
    <mergeCell ref="D81:D82"/>
    <mergeCell ref="A83:A84"/>
    <mergeCell ref="C83:C84"/>
    <mergeCell ref="D83:D84"/>
    <mergeCell ref="A85:A86"/>
    <mergeCell ref="C85:C86"/>
    <mergeCell ref="D85:D86"/>
    <mergeCell ref="A87:A88"/>
    <mergeCell ref="C87:C88"/>
    <mergeCell ref="D87:D88"/>
    <mergeCell ref="A89:A90"/>
    <mergeCell ref="C89:C90"/>
    <mergeCell ref="D89:D90"/>
    <mergeCell ref="A91:A92"/>
    <mergeCell ref="C91:C92"/>
    <mergeCell ref="D91:D92"/>
    <mergeCell ref="A93:A94"/>
    <mergeCell ref="C93:C94"/>
    <mergeCell ref="D93:D94"/>
    <mergeCell ref="A95:A96"/>
    <mergeCell ref="C95:C96"/>
    <mergeCell ref="D95:D96"/>
    <mergeCell ref="A97:A98"/>
    <mergeCell ref="C97:C98"/>
    <mergeCell ref="D97:D98"/>
    <mergeCell ref="A99:A100"/>
    <mergeCell ref="C99:C100"/>
    <mergeCell ref="D99:D100"/>
    <mergeCell ref="A101:A102"/>
    <mergeCell ref="C101:C102"/>
    <mergeCell ref="D101:D102"/>
    <mergeCell ref="E101:E102"/>
    <mergeCell ref="A103:A104"/>
    <mergeCell ref="C103:C104"/>
    <mergeCell ref="D103:D104"/>
    <mergeCell ref="E103:E104"/>
    <mergeCell ref="A105:A106"/>
    <mergeCell ref="C105:C106"/>
    <mergeCell ref="D105:D106"/>
    <mergeCell ref="E105:E106"/>
    <mergeCell ref="A107:A108"/>
    <mergeCell ref="C107:C108"/>
    <mergeCell ref="D107:D108"/>
    <mergeCell ref="E107:E108"/>
    <mergeCell ref="A109:A110"/>
    <mergeCell ref="C109:C110"/>
    <mergeCell ref="D109:D110"/>
    <mergeCell ref="E109:E110"/>
    <mergeCell ref="A111:A112"/>
    <mergeCell ref="C111:C112"/>
    <mergeCell ref="D111:D112"/>
    <mergeCell ref="E111:E112"/>
    <mergeCell ref="A113:A114"/>
    <mergeCell ref="C113:C114"/>
    <mergeCell ref="D113:D114"/>
    <mergeCell ref="E113:E114"/>
    <mergeCell ref="A115:A116"/>
    <mergeCell ref="C115:C116"/>
    <mergeCell ref="D115:D116"/>
    <mergeCell ref="E115:E116"/>
    <mergeCell ref="A117:A118"/>
    <mergeCell ref="C117:C118"/>
    <mergeCell ref="D117:D118"/>
    <mergeCell ref="E117:E118"/>
    <mergeCell ref="A119:A120"/>
    <mergeCell ref="C119:C120"/>
    <mergeCell ref="D119:D120"/>
    <mergeCell ref="E119:E120"/>
    <mergeCell ref="A121:A122"/>
    <mergeCell ref="C121:C122"/>
    <mergeCell ref="D121:D122"/>
    <mergeCell ref="E121:E122"/>
    <mergeCell ref="A123:A124"/>
    <mergeCell ref="C123:C124"/>
    <mergeCell ref="D123:D124"/>
    <mergeCell ref="E123:E124"/>
    <mergeCell ref="A125:A126"/>
    <mergeCell ref="C125:C126"/>
    <mergeCell ref="D125:D126"/>
    <mergeCell ref="E125:E126"/>
    <mergeCell ref="A127:A128"/>
    <mergeCell ref="C127:C128"/>
    <mergeCell ref="D127:D128"/>
    <mergeCell ref="E127:E128"/>
    <mergeCell ref="A129:A130"/>
    <mergeCell ref="C129:C130"/>
    <mergeCell ref="D129:D130"/>
    <mergeCell ref="E129:E130"/>
    <mergeCell ref="A131:A132"/>
    <mergeCell ref="C131:C132"/>
    <mergeCell ref="D131:D132"/>
    <mergeCell ref="E131:E132"/>
    <mergeCell ref="A133:A134"/>
    <mergeCell ref="C133:C134"/>
    <mergeCell ref="D133:D134"/>
    <mergeCell ref="E133:E134"/>
    <mergeCell ref="A135:A136"/>
    <mergeCell ref="C135:C136"/>
    <mergeCell ref="D135:D136"/>
    <mergeCell ref="E135:E136"/>
    <mergeCell ref="A137:A138"/>
    <mergeCell ref="C137:C138"/>
    <mergeCell ref="D137:D138"/>
    <mergeCell ref="E137:E138"/>
    <mergeCell ref="A139:A140"/>
    <mergeCell ref="C139:C140"/>
    <mergeCell ref="D139:D140"/>
    <mergeCell ref="E139:E140"/>
    <mergeCell ref="A141:A142"/>
    <mergeCell ref="D141:D142"/>
    <mergeCell ref="E141:E142"/>
    <mergeCell ref="A143:A144"/>
    <mergeCell ref="D143:D144"/>
    <mergeCell ref="E143:E144"/>
    <mergeCell ref="A145:A146"/>
    <mergeCell ref="C145:C146"/>
    <mergeCell ref="D145:D146"/>
    <mergeCell ref="E145:E146"/>
    <mergeCell ref="A147:A148"/>
    <mergeCell ref="D147:D148"/>
    <mergeCell ref="E147:E148"/>
    <mergeCell ref="A149:A150"/>
    <mergeCell ref="D149:D150"/>
    <mergeCell ref="E149:E150"/>
    <mergeCell ref="A151:A152"/>
    <mergeCell ref="D151:D152"/>
    <mergeCell ref="E151:E152"/>
    <mergeCell ref="A153:A154"/>
    <mergeCell ref="C153:C154"/>
    <mergeCell ref="D153:D154"/>
    <mergeCell ref="E153:E154"/>
    <mergeCell ref="A155:A156"/>
    <mergeCell ref="C155:C156"/>
    <mergeCell ref="D155:D156"/>
    <mergeCell ref="E155:E156"/>
    <mergeCell ref="A157:A158"/>
    <mergeCell ref="C157:C158"/>
    <mergeCell ref="D157:D158"/>
    <mergeCell ref="E157:E158"/>
    <mergeCell ref="A159:A160"/>
    <mergeCell ref="C159:C160"/>
    <mergeCell ref="D159:D160"/>
    <mergeCell ref="E159:E160"/>
    <mergeCell ref="A161:A162"/>
    <mergeCell ref="C161:C162"/>
    <mergeCell ref="D161:D162"/>
    <mergeCell ref="E161:E162"/>
    <mergeCell ref="A163:A164"/>
    <mergeCell ref="C163:C164"/>
    <mergeCell ref="D163:D164"/>
    <mergeCell ref="E163:E164"/>
    <mergeCell ref="A165:A166"/>
    <mergeCell ref="C165:C166"/>
    <mergeCell ref="D165:D166"/>
    <mergeCell ref="E165:E166"/>
    <mergeCell ref="A167:A168"/>
    <mergeCell ref="C167:C168"/>
    <mergeCell ref="D167:D168"/>
    <mergeCell ref="E167:E168"/>
    <mergeCell ref="A169:A170"/>
    <mergeCell ref="C169:C170"/>
    <mergeCell ref="D169:D170"/>
    <mergeCell ref="E169:E170"/>
    <mergeCell ref="C171:C172"/>
    <mergeCell ref="D171:D172"/>
    <mergeCell ref="E171:E172"/>
    <mergeCell ref="C173:C174"/>
    <mergeCell ref="D173:D174"/>
    <mergeCell ref="E173:E174"/>
    <mergeCell ref="A175:A176"/>
    <mergeCell ref="C175:C176"/>
    <mergeCell ref="D175:D176"/>
    <mergeCell ref="E175:E176"/>
    <mergeCell ref="A177:A178"/>
    <mergeCell ref="C177:C178"/>
    <mergeCell ref="D177:D178"/>
    <mergeCell ref="E177:E178"/>
    <mergeCell ref="C179:C180"/>
    <mergeCell ref="D179:D180"/>
    <mergeCell ref="E179:E180"/>
    <mergeCell ref="C181:C182"/>
    <mergeCell ref="D181:D182"/>
    <mergeCell ref="E181:E182"/>
    <mergeCell ref="A183:A184"/>
    <mergeCell ref="C183:C184"/>
    <mergeCell ref="D183:D184"/>
    <mergeCell ref="E183:E184"/>
    <mergeCell ref="B185:E185"/>
    <mergeCell ref="B186:E186"/>
    <mergeCell ref="B187:E187"/>
    <mergeCell ref="B188:C188"/>
    <mergeCell ref="C190:E190"/>
    <mergeCell ref="B191:C191"/>
    <mergeCell ref="B192:C192"/>
    <mergeCell ref="B193:C193"/>
    <mergeCell ref="B194:C194"/>
    <mergeCell ref="B195:C195"/>
    <mergeCell ref="B196:C196"/>
    <mergeCell ref="B197:C197"/>
  </mergeCells>
  <printOptions/>
  <pageMargins left="0.7480314960629921" right="0.7480314960629921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&amp;R&amp;P</oddFooter>
  </headerFooter>
  <rowBreaks count="4" manualBreakCount="4">
    <brk id="42" max="255" man="1"/>
    <brk id="82" max="255" man="1"/>
    <brk id="122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Vera.Brauna</dc:creator>
  <cp:keywords/>
  <dc:description/>
  <cp:lastModifiedBy>Spīdola Ozoliņa</cp:lastModifiedBy>
  <cp:lastPrinted>2014-10-23T11:57:10Z</cp:lastPrinted>
  <dcterms:created xsi:type="dcterms:W3CDTF">2007-01-09T12:30:29Z</dcterms:created>
  <dcterms:modified xsi:type="dcterms:W3CDTF">2014-10-23T11:57:13Z</dcterms:modified>
  <cp:category/>
  <cp:version/>
  <cp:contentType/>
  <cp:contentStatus/>
</cp:coreProperties>
</file>