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2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</sheets>
  <definedNames>
    <definedName name="_xlnm.Print_Titles" localSheetId="2">'3.pielikums'!$9:$11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<sst xmlns="http://schemas.openxmlformats.org/spreadsheetml/2006/main" count="1026" uniqueCount="736">
  <si>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</si>
  <si>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t>Pamatkapitāla palielināšana SIA "Jelgavas pilsētas slimnīca"</t>
  </si>
  <si>
    <t>Pašvaldības nodeva par reklāmas, afišu   un sludinājumu izvietošanu publiskās vietās</t>
  </si>
  <si>
    <t>Ieņēmumi no dzīvojamo  māju  privatizācijas</t>
  </si>
  <si>
    <t>Pašvaldību no valsts budžeta  iestādēm saņemtie transferti ES  politiku  instrumentu un pārējās ārvalstu  finanšu palīdzības līdzfinansētajiem projektiem (pasākumiem)</t>
  </si>
  <si>
    <t xml:space="preserve">Klasifikā-cijas kods </t>
  </si>
  <si>
    <t>dotācija no vispārējiem ieņēmu-miem</t>
  </si>
  <si>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</si>
  <si>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</si>
  <si>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</si>
  <si>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</si>
  <si>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</si>
  <si>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</si>
  <si>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</si>
  <si>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</si>
  <si>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</si>
  <si>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</si>
  <si>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</si>
  <si>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</si>
  <si>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</si>
  <si>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</si>
  <si>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</si>
  <si>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</si>
  <si>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</si>
  <si>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</si>
  <si>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</si>
  <si>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</si>
  <si>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</si>
  <si>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</si>
  <si>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>LVL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</si>
  <si>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</si>
  <si>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</si>
  <si>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</si>
  <si>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</si>
  <si>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</si>
  <si>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</si>
  <si>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</si>
  <si>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</si>
  <si>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</si>
  <si>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</si>
  <si>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</si>
  <si>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</si>
  <si>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</si>
  <si>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</si>
  <si>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</si>
  <si>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</si>
  <si>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</si>
  <si>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</si>
  <si>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</si>
  <si>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</si>
  <si>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</si>
  <si>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</si>
  <si>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</si>
  <si>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</si>
  <si>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</si>
  <si>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</si>
  <si>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</si>
  <si>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</si>
  <si>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</si>
  <si>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</si>
  <si>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</si>
  <si>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</si>
  <si>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</si>
  <si>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</si>
  <si>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</si>
  <si>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</si>
  <si>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</si>
  <si>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</si>
  <si>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</si>
  <si>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</si>
  <si>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</si>
  <si>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</si>
  <si>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</si>
  <si>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</si>
  <si>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</si>
  <si>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</si>
  <si>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</si>
  <si>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</si>
  <si>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</si>
  <si>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</si>
  <si>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</si>
  <si>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</si>
  <si>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</si>
  <si>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</si>
  <si>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</si>
  <si>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</si>
  <si>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</si>
  <si>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</si>
  <si>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</si>
  <si>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</si>
  <si>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</si>
  <si>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</si>
  <si>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</si>
  <si>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</si>
  <si>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</si>
  <si>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</si>
  <si>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</si>
  <si>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</si>
  <si>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</si>
  <si>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</si>
  <si>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</si>
  <si>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</si>
  <si>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</si>
  <si>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Atbalsts ģimenām ar bērniem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</si>
  <si>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</si>
  <si>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</si>
  <si>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</si>
  <si>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</si>
  <si>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</si>
  <si>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</si>
  <si>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</si>
  <si>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</si>
  <si>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</si>
  <si>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</si>
  <si>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</si>
  <si>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</si>
  <si>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</si>
  <si>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</si>
  <si>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</si>
  <si>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</si>
  <si>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</si>
  <si>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</si>
  <si>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</si>
  <si>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</si>
  <si>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</si>
  <si>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</si>
  <si>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</si>
  <si>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</si>
  <si>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</si>
  <si>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</si>
  <si>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</si>
  <si>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</si>
  <si>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</si>
  <si>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</si>
  <si>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</si>
  <si>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</si>
  <si>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</si>
  <si>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</si>
  <si>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</si>
  <si>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</si>
  <si>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</si>
  <si>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</si>
  <si>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</si>
  <si>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</si>
  <si>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</si>
  <si>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</si>
  <si>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</si>
  <si>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</si>
  <si>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</si>
  <si>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</si>
  <si>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domes izstrādāto oficiālo dokumentu un apstiprinātu to kopiju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</si>
  <si>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</si>
  <si>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</si>
  <si>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</si>
  <si>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būvatļaujas saņemšanu</t>
  </si>
  <si>
    <t>Naudas sodi, ko uzliek pašvaldības</t>
  </si>
  <si>
    <t>Soda sankcijas par vispārējiem nodokļu maksāšanas pārkāpumiem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</si>
  <si>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</si>
  <si>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</si>
  <si>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</si>
  <si>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</si>
  <si>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Ieņēmumi no apbūvēta zemes gabala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</si>
  <si>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</si>
  <si>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</si>
  <si>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</si>
  <si>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</si>
  <si>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</si>
  <si>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</si>
  <si>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</si>
  <si>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</si>
  <si>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</si>
  <si>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</si>
  <si>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</si>
  <si>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</si>
  <si>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</si>
  <si>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</si>
  <si>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</si>
  <si>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</si>
  <si>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</si>
  <si>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</si>
  <si>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</si>
  <si>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</si>
  <si>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</si>
  <si>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</si>
  <si>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</si>
  <si>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</si>
  <si>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</si>
  <si>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</si>
  <si>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</si>
  <si>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</si>
  <si>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</si>
  <si>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</si>
  <si>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</si>
  <si>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</si>
  <si>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</si>
  <si>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</si>
  <si>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Ieņēmumi no neapbūvēta zemes gabala privatizācijas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</si>
  <si>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</si>
  <si>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</si>
  <si>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</si>
  <si>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</si>
  <si>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</si>
  <si>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</si>
  <si>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</si>
  <si>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</si>
  <si>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</si>
  <si>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</si>
  <si>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</si>
  <si>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</si>
  <si>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</si>
  <si>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</si>
  <si>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</si>
  <si>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</si>
  <si>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09.530.</t>
  </si>
  <si>
    <t>09.531.</t>
  </si>
  <si>
    <t>09.532.</t>
  </si>
  <si>
    <t>09.520.</t>
  </si>
  <si>
    <t>GROZĪJUMI + vai -</t>
  </si>
  <si>
    <t>grozījumi dotācijai no vispārējiem ieņēmumiem</t>
  </si>
  <si>
    <t xml:space="preserve">valsts budžeta transferti </t>
  </si>
  <si>
    <t>grozījumi  valsts budžeta  transfertiem pašvaldībām</t>
  </si>
  <si>
    <t>pašvaldību budžēta transferti</t>
  </si>
  <si>
    <t>grozījumi pašvaldību budžeta transfertiem</t>
  </si>
  <si>
    <t>Inteleģentās enerģijas -Eiropas programmas  projekts "Zemgales reģionālās enerģētikas aģentūras izveide enerģijas vadības un efektivitātes atbalstīšanai"</t>
  </si>
  <si>
    <t>05.102.</t>
  </si>
  <si>
    <t>Veselības veicināšanas pasākumi</t>
  </si>
  <si>
    <t>08.105.</t>
  </si>
  <si>
    <t>09.813.</t>
  </si>
  <si>
    <t>Sociālā palīdzība ģimenēm ar bērniem un vardarbībā cietušo bērnu rehalibitācija</t>
  </si>
  <si>
    <t>Atbalsts bezdarba gadījumā</t>
  </si>
  <si>
    <t xml:space="preserve">           Pamatbudžeta izdevumu grozījumi</t>
  </si>
  <si>
    <t xml:space="preserve"> Dotācija no vispārējiem ieņēmumiem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</si>
  <si>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</si>
  <si>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</si>
  <si>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</si>
  <si>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</si>
  <si>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</si>
  <si>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</si>
  <si>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Grozījumi</t>
  </si>
  <si>
    <t>Reliģisko organizāciju un citu biedrību  un nodibinājumu pakalpojumi</t>
  </si>
  <si>
    <t>08.401.</t>
  </si>
  <si>
    <t xml:space="preserve">Valsts nodeva par uzvārda,vārda un tautības ieraksta maiņu personu apliecinošos dokumentos </t>
  </si>
  <si>
    <t>Pārējie dažādi nenodokļu ieņēmumi, kas nav iepriekš klasificēti šajā klasifikācijā</t>
  </si>
  <si>
    <t>Citi dažādi nenodokļu ieņēmumi</t>
  </si>
  <si>
    <t>Nekustamā īpašuma nodoklis par mājokļiem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</si>
  <si>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</si>
  <si>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</si>
  <si>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</si>
  <si>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</si>
  <si>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</si>
  <si>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04.519.</t>
  </si>
  <si>
    <t>08.405.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</si>
  <si>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</si>
  <si>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</si>
  <si>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</si>
  <si>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</si>
  <si>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</si>
  <si>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</si>
  <si>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</si>
  <si>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04.909.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</si>
  <si>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</si>
  <si>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</si>
  <si>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</si>
  <si>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</si>
  <si>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</si>
  <si>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</si>
  <si>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</si>
  <si>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</si>
  <si>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</si>
  <si>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</si>
  <si>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</si>
  <si>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</si>
  <si>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</si>
  <si>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</si>
  <si>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09.521.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</si>
  <si>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</si>
  <si>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</si>
  <si>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</si>
  <si>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</si>
  <si>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</si>
  <si>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</si>
  <si>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</si>
  <si>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</si>
  <si>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</si>
  <si>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</si>
  <si>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</si>
  <si>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</si>
  <si>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</si>
  <si>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</si>
  <si>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</si>
  <si>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</si>
  <si>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</si>
  <si>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</si>
  <si>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</si>
  <si>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</si>
  <si>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</si>
  <si>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</si>
  <si>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</si>
  <si>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</si>
  <si>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</si>
  <si>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</si>
  <si>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21.490.</t>
  </si>
  <si>
    <t>04.910.</t>
  </si>
  <si>
    <t>Pamatkapitāla palielināšana SIA "Jelgavas poliklīnika"</t>
  </si>
  <si>
    <t>Pašvaldību saņemtie transferti no valsts budžeta</t>
  </si>
  <si>
    <t>Pašvaldību saņemtie valsts budžeta transferti noteiktam mērķim</t>
  </si>
  <si>
    <t xml:space="preserve">Pārējie pašvaldību saņemtie valsts budžeta iestāžu transferti </t>
  </si>
  <si>
    <t xml:space="preserve">Pašvaldību saņemtie transferti no citām pašvaldībām </t>
  </si>
  <si>
    <t xml:space="preserve">Budžeta iestāžu ieņēmumi </t>
  </si>
  <si>
    <t>Citi iepriekš neklasificētie pašu ieņēmumi</t>
  </si>
  <si>
    <t xml:space="preserve">Pamatkapitāla palielināšanai SIA "Jelgavas pilsētas slimnīca" </t>
  </si>
  <si>
    <t xml:space="preserve">Pamatkapitāla palielināšanai SIA "Jelgavas poliklīnika" 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</si>
  <si>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</si>
  <si>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</si>
  <si>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</si>
  <si>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</si>
  <si>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</si>
  <si>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t>ERAF projekts "Ielu infrastruktūras attīstība un Driksas upes krastmalas sakārtošana"</t>
  </si>
  <si>
    <t>Zemes reformas darbība, zemes īpašuma un lietošanas tiesību pārveidošana</t>
  </si>
  <si>
    <t>ESF projekts "Jelgavas pilsētas pašvaldības kapacitātes stiprināšana ES un citu ārvalstu finanšu palīdzības līdzfinansēto projektu sagatavošanā un īstenošanā"</t>
  </si>
  <si>
    <t>04.911.</t>
  </si>
  <si>
    <t>Subsīdija nodibinājumam "Sporta talākizglītības atbalsta fonds"</t>
  </si>
  <si>
    <t>Kultūras centri, nami un klubi</t>
  </si>
  <si>
    <t>08.231.</t>
  </si>
  <si>
    <t>08.232.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</si>
  <si>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</si>
  <si>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</si>
  <si>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</si>
  <si>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</si>
  <si>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</si>
  <si>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</si>
  <si>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</si>
  <si>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09.222.2</t>
  </si>
  <si>
    <t>09.219.1.</t>
  </si>
  <si>
    <t>09.219.2.</t>
  </si>
  <si>
    <t>09.222.3</t>
  </si>
  <si>
    <t>Latvijas - Lietuvas pārrobežu sadarbības programmas projekts "Radošo industriju attīstība Latvijas un Lietuvas pierobežu reģionā"</t>
  </si>
  <si>
    <t>09.222.5.</t>
  </si>
  <si>
    <t>09.222.6.</t>
  </si>
  <si>
    <t>Jelgavas sporta skolas- SSC</t>
  </si>
  <si>
    <t>Subsīdija nodibinājumam "Izglītības atbalsta fonds"</t>
  </si>
  <si>
    <t>09.522.</t>
  </si>
  <si>
    <t>Pārējā izglītības vadība</t>
  </si>
  <si>
    <t>09.811.</t>
  </si>
  <si>
    <t>09.812.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</si>
  <si>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</si>
  <si>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</si>
  <si>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</si>
  <si>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</si>
  <si>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</si>
  <si>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Pilsētas sanitārā tīrīšana (SIA "Zemgales EKO" funkcija)</t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</si>
  <si>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</si>
  <si>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</si>
  <si>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</si>
  <si>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</si>
  <si>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</si>
  <si>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</si>
  <si>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</si>
  <si>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</si>
  <si>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</si>
  <si>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</si>
  <si>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</si>
  <si>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 xml:space="preserve">         JELGAVAS PILSĒTAS PAŠVALDĪBAS 2013.GADA BUDŽETS  </t>
  </si>
  <si>
    <t>09.529.</t>
  </si>
  <si>
    <t>Pārējās nodevas, ko uzliek pašvaldības</t>
  </si>
  <si>
    <t xml:space="preserve">Ieņēmumi no pašvaldības īpašuma iznomāšanas, pārdošanas un no nodokļu pamatparāda kapitalizācijas </t>
  </si>
  <si>
    <t xml:space="preserve">JELGAVAS PAŠVALDĪBAS 2013.GADA BUDŽETS  </t>
  </si>
  <si>
    <t>budžeta iestāžu ieņēmumi</t>
  </si>
  <si>
    <t>grozījumi no budžeta iestāžu ieņēmumiem</t>
  </si>
  <si>
    <t>naudas līdzekļu atlikums uz 31.12.2012</t>
  </si>
  <si>
    <t>01.600.</t>
  </si>
  <si>
    <r>
      <t xml:space="preserve">Pārējie iepriekš neklasificētie vispārējie vadības dienesti - </t>
    </r>
    <r>
      <rPr>
        <b/>
        <i/>
        <sz val="10"/>
        <rFont val="Times New Roman"/>
        <family val="1"/>
      </rPr>
      <t>vēlēšanu organizēšana</t>
    </r>
  </si>
  <si>
    <t>03.204.</t>
  </si>
  <si>
    <t>Latvijas-Lietuvas pārrobežu sadarbības programmas projekts "Glābšanas komandas izveide plūdu situāciju novēršanai Latvijas un Lietuvas pierobežas reģionā"</t>
  </si>
  <si>
    <t>04.520.</t>
  </si>
  <si>
    <t>ERAF projekts " Lietuvas šosejas rekonstrukcija posmā no Miera ielas līdz Rūpniecības ielai"</t>
  </si>
  <si>
    <t>04.734.</t>
  </si>
  <si>
    <t>Dotācija "Zemgales plānošanas reģions"</t>
  </si>
  <si>
    <t>04.914.</t>
  </si>
  <si>
    <t>ESF projekts "Jelgavas pilsētas pašvaldības kapacitātes stiprināšana - II kārta"</t>
  </si>
  <si>
    <t>05.300.</t>
  </si>
  <si>
    <t>Vides piesārņojuma novēršana un samazināsāna</t>
  </si>
  <si>
    <t>Latvijas -Lietuvas pārrobežu sadarbības programmas projekts "Ekoloģisko avāriju likvidēšana un vides piesārņojuma mazināšana Lielupes baseina teritorijā"</t>
  </si>
  <si>
    <t>06.201.</t>
  </si>
  <si>
    <t xml:space="preserve">P/ie "Pilsētsaimniecība" </t>
  </si>
  <si>
    <t>06.606.</t>
  </si>
  <si>
    <t>Ar pašvaldības teritoriju saistīto normatīvo aktu un standartu sagatavošana un ieviešana</t>
  </si>
  <si>
    <t>07.622.</t>
  </si>
  <si>
    <t>Latvijas-Lietuvas pārrobežu sadarbības projekts "Veseli jaunieši"</t>
  </si>
  <si>
    <t>Muzeji un izstādes</t>
  </si>
  <si>
    <t>P/ie "Kultūra"</t>
  </si>
  <si>
    <t>P/ie "Kultūra" pasākumi</t>
  </si>
  <si>
    <t>08.242.</t>
  </si>
  <si>
    <t>Jelgavas bigbends</t>
  </si>
  <si>
    <t>09.101.13.</t>
  </si>
  <si>
    <t>Pirmsskolas izglītības iestāde Ganību ielā 66, Jelgavā</t>
  </si>
  <si>
    <t>09.210.</t>
  </si>
  <si>
    <t>Vispārējā izglītība</t>
  </si>
  <si>
    <t>09.219.3.</t>
  </si>
  <si>
    <t>Profesionālā vidējā izglītība</t>
  </si>
  <si>
    <t>09.222.</t>
  </si>
  <si>
    <t>Citi interešu izglītības pasākumi, t.sk. Bērnu un jauniešu izglītības centrs "Junda"</t>
  </si>
  <si>
    <t>09.518.</t>
  </si>
  <si>
    <t>Atbalsta fondi</t>
  </si>
  <si>
    <t xml:space="preserve">P/ie "Zemgales reģiona Kompetenču attīstības centrs" </t>
  </si>
  <si>
    <t>P/ie "Jelgavas Izglītības pārvalde"</t>
  </si>
  <si>
    <t>P/ie Bāriņtiesa</t>
  </si>
  <si>
    <t>Atkarību profilakses kabinets</t>
  </si>
  <si>
    <t>P/ie  "Jelgavas pilsētas nakts patversme"</t>
  </si>
  <si>
    <t>10.709.</t>
  </si>
  <si>
    <t>P/ie "Jelgavas sociālo lietu pārvalde"</t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</si>
  <si>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</t>
    </r>
  </si>
  <si>
    <t>10.921.</t>
  </si>
  <si>
    <t>Pabalsti  ārkārtas gadījumos, citi  pabalsti un  kompensācijas</t>
  </si>
  <si>
    <t>2013.gada izdevumu plāns</t>
  </si>
  <si>
    <t xml:space="preserve">Akcijas un cita līdzdalība komersantu pašu kapitālā </t>
  </si>
  <si>
    <t>Pamatkapitāla palielināšana SIA "Medicīnas sabiedrība OPTIMA 1"</t>
  </si>
  <si>
    <t>Pamatkapitāla palielināšana SIA "Jelgavas ūdens"</t>
  </si>
  <si>
    <t>10.900.</t>
  </si>
  <si>
    <t>2013.GADA PLĀNS</t>
  </si>
  <si>
    <t xml:space="preserve">JELGAVAS PILSĒTAS PAŠVALDĪBAS 2013.GADA BUDŽETS  </t>
  </si>
  <si>
    <t>Plāns 2013.gadam</t>
  </si>
  <si>
    <t>Budžeta iestāžu ieņēmumi</t>
  </si>
  <si>
    <t>Pamatkapitāla palielināšana SIA "Jelgavas Ūdens"</t>
  </si>
  <si>
    <t>P/ie"Jelgavas bērnu sociālās aprūpes centrs"</t>
  </si>
  <si>
    <t>P/ie "Jelgavas Izglītības pārvalde"  projektu realizācija</t>
  </si>
  <si>
    <t>12.393.</t>
  </si>
  <si>
    <t>Piedzītie un labprātīgi atmaksātie līdzekļi</t>
  </si>
  <si>
    <t>09.106.</t>
  </si>
  <si>
    <t>Pirmsskolas izglītības iestāde Skautu ielā 1A, Jelgavā</t>
  </si>
  <si>
    <t>10.705.2</t>
  </si>
  <si>
    <t>Domes priekšsēdētājs</t>
  </si>
  <si>
    <t>A.Rāviņš</t>
  </si>
  <si>
    <t>P/ie "Jelgavas bērnu sociālās aprūpes centrs" krīzes centrs</t>
  </si>
  <si>
    <t xml:space="preserve">P/ie "Pašvaldības iestāžu centralizētā grāmatvedība" </t>
  </si>
  <si>
    <r>
      <t>Policijas dienesti -</t>
    </r>
    <r>
      <rPr>
        <b/>
        <i/>
        <sz val="10"/>
        <rFont val="Times New Roman"/>
        <family val="1"/>
      </rPr>
      <t xml:space="preserve"> p/ie "Jelgavas pilsētas pašvaldības policija"</t>
    </r>
  </si>
  <si>
    <t>P/ie "Jelgavas reģionālais tūrisma centrs"</t>
  </si>
  <si>
    <t>ESF projekts "Jelgavas pilsētas attīstības plānošanas kapacitātes paaugstināšana"</t>
  </si>
  <si>
    <t>Projektu sagatavošana un teritoriju attīstība</t>
  </si>
  <si>
    <t xml:space="preserve">P/ie "Sporta servisa centrs" </t>
  </si>
  <si>
    <t xml:space="preserve">P/ie "Jelgavas Ģ.Eliasa Vēstures un mākslas muzejs" </t>
  </si>
  <si>
    <t xml:space="preserve">P/ie "Zemgales INFO" </t>
  </si>
  <si>
    <t>09.105.</t>
  </si>
  <si>
    <t>ERAF projekts "Jelgavas pilsētas pašvaldības PII "Vārpiņa" rekonstrukcija un energoefektivitātes paaugstināšana"</t>
  </si>
  <si>
    <t>05.304.</t>
  </si>
  <si>
    <t>05.601.</t>
  </si>
  <si>
    <t>Latvijas -Lietuvas pārrobežu sadarbības programmas projekts "Vides izpratnes veicināšana Jelgavas un Šauļu pilsētās"</t>
  </si>
  <si>
    <t>Pārējā citur neklasificētā vides aizsardzība</t>
  </si>
  <si>
    <t>06.401.</t>
  </si>
  <si>
    <t>06.402.</t>
  </si>
  <si>
    <t>KPFI projekts "Siltumnīcefektu gāzu emisiju samazināšana Jelgavas pilsētas pašvaldības publisko teritoriju apgaismojuma infrastruktūrā otrā kārta"</t>
  </si>
  <si>
    <t>09.107.</t>
  </si>
  <si>
    <t>04.916.</t>
  </si>
  <si>
    <t>Projekts "Jelgavas pilsētas pašvaldības PII izveide Ganību ielā 66, I kārta"</t>
  </si>
  <si>
    <t>04.521.</t>
  </si>
  <si>
    <t xml:space="preserve">ERAF projekts "Transporta infrastruktūras izbūve industriālo teritoriju attīstības nodrošināšanai Jelgavā" </t>
  </si>
  <si>
    <t>Zvērināto auditoru pakalpojumi un grāmatvedības programmas "Horizon" uzturēšana</t>
  </si>
  <si>
    <t>Pašvaldības operatīvās informācijas centrs (p/ie"Pilsētsaimniecība" funkcija)</t>
  </si>
  <si>
    <t>Centrālās Baltijas jūras reģiona INTERREG IV A programmas projekts "Centrālbaltijas velotīkls"</t>
  </si>
  <si>
    <t>Latvijas - Lietuvas pārrobežu sadarbības programmas projekts "Zinātnes un ražošanas sadarbības veidošana Jelgavā un Šauļos"</t>
  </si>
  <si>
    <t>ERAF projekts "Pasta salas labiekārtošana un upju kā turisma un aktīvās atpūtas produkta veidošana Jelgavā"</t>
  </si>
  <si>
    <t>ERAF projekts „Jāņa kolektora rekonstrukcija plūdu draudu novēršanai un samazināšanai Jelgavā”</t>
  </si>
  <si>
    <t>Ielu, laukumu, publisko dārzu un parku tīrīšana un atkritumu savākšana (p/ie "Pilsētsaimniecība"  funkcija)</t>
  </si>
  <si>
    <t>P/ie "Jelgavas zinātniskā bibliotēka"</t>
  </si>
  <si>
    <t>Dotācijas reliģiskajām un citām biedrībām un nodibinājumiem - finanšu nodaļa</t>
  </si>
  <si>
    <t>09.101.14.</t>
  </si>
  <si>
    <t>Pirmsskolas izglītības iestāde Skautu ielā 1a, Jelgavā</t>
  </si>
  <si>
    <t>Internātpamatskolas un šo skolu projektu īstenošana</t>
  </si>
  <si>
    <t>Jelgavas vispārizglītojošo skolu projektu īstenošana</t>
  </si>
  <si>
    <r>
      <t xml:space="preserve"> </t>
    </r>
    <r>
      <rPr>
        <i/>
        <sz val="10"/>
        <rFont val="Times New Roman"/>
        <family val="1"/>
      </rPr>
      <t xml:space="preserve">Jelgavas Amatu vidusskola </t>
    </r>
  </si>
  <si>
    <t>Jelgavas Amatu vidusskolas projektu īstenošana</t>
  </si>
  <si>
    <t>Bērnu un jauniešu izglītības centra "Junda" projektu īstenošana</t>
  </si>
  <si>
    <t>P/ie  "Zemgales  reģiona  Kompetenču attīstības centrs" projektu īstenošana</t>
  </si>
  <si>
    <t>Naktspatversme</t>
  </si>
  <si>
    <t>Braukšanas maksas atvieglojumi skolēniem sabiedriskajā transportā -finanšu nodaļa</t>
  </si>
  <si>
    <t xml:space="preserve"> 5. 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</si>
  <si>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</si>
  <si>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</si>
  <si>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</si>
  <si>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</si>
  <si>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</si>
  <si>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</si>
  <si>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</si>
  <si>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</si>
  <si>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LVL</t>
  </si>
  <si>
    <t>periods</t>
  </si>
  <si>
    <t>2027-2033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</si>
  <si>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</si>
  <si>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</si>
  <si>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</si>
  <si>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</si>
  <si>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</si>
  <si>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</si>
  <si>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01.05.2022.</t>
  </si>
  <si>
    <t>Valsts kase</t>
  </si>
  <si>
    <t>Autobusu iegādei</t>
  </si>
  <si>
    <t>20.12.2005.</t>
  </si>
  <si>
    <t>A2/1/05/709</t>
  </si>
  <si>
    <t>20.12.2015.</t>
  </si>
  <si>
    <t>Projekts "Drošais ceļš uz skolu</t>
  </si>
  <si>
    <t>A2/1/05/710</t>
  </si>
  <si>
    <t>O.Kalpaka, Svētes ielu remontam</t>
  </si>
  <si>
    <t>A2/1/05/711</t>
  </si>
  <si>
    <t>09.02.2006.</t>
  </si>
  <si>
    <t>A2/1/10/477</t>
  </si>
  <si>
    <t>20.01.2016.</t>
  </si>
  <si>
    <t>4.vsk piebūves projektēšanai</t>
  </si>
  <si>
    <t>17.03.2006.</t>
  </si>
  <si>
    <t>A2/1/10/474</t>
  </si>
  <si>
    <t>Skolu dabas zinātņu kabinetu renovācijai</t>
  </si>
  <si>
    <t>A2/1/10/475</t>
  </si>
  <si>
    <t>Sv.Trīsvienības baznīcas torņa rekonstrukcijas projekts</t>
  </si>
  <si>
    <t>A2/1/10/476</t>
  </si>
  <si>
    <t>Elektrotīklu pirkšanai</t>
  </si>
  <si>
    <t>A2/1/10/487</t>
  </si>
  <si>
    <t>Slimnīcas operāciju bloka remontam</t>
  </si>
  <si>
    <t>27.06.2006.</t>
  </si>
  <si>
    <t>A2/1/10/472</t>
  </si>
  <si>
    <t>ERAF projektam ar SAC "Jelgava"</t>
  </si>
  <si>
    <t>A2/1/10/473</t>
  </si>
  <si>
    <t>Stāvlaukuma un ielu rekonstrukcija</t>
  </si>
  <si>
    <t>A2/1/10/471</t>
  </si>
  <si>
    <t>INTERREG projekts "Riska vadības sistēma"</t>
  </si>
  <si>
    <t>A2/1/10/486</t>
  </si>
  <si>
    <t>Peldu ielas izbūvei</t>
  </si>
  <si>
    <t>13.10.2006.</t>
  </si>
  <si>
    <t>A2/1/10/488</t>
  </si>
  <si>
    <t>PHARE projekts "Satiksmes drošība pie skolām"</t>
  </si>
  <si>
    <t>A2/1/10/485</t>
  </si>
  <si>
    <t>Pašvaldību iestāžu ēku remontiem</t>
  </si>
  <si>
    <t>21.06.2007.-</t>
  </si>
  <si>
    <t>A2/1/07/301</t>
  </si>
  <si>
    <t>20.01.2017.</t>
  </si>
  <si>
    <t>Pamatkapitāla palielināšanai SIA "JPSlimnīca", "JNMPS"</t>
  </si>
  <si>
    <t>A2/1/07/302</t>
  </si>
  <si>
    <t>Pamatkapitāla palielināšana SIA "ZOC"</t>
  </si>
  <si>
    <t>A2/1/07/303</t>
  </si>
  <si>
    <t>Pilsētas ielu izbūvei, renovācijai un remontam</t>
  </si>
  <si>
    <t>A2/1/07/304</t>
  </si>
  <si>
    <t>Infrastruktūras objektu rekonstrukcijai un izbūvei</t>
  </si>
  <si>
    <t>A2/1/07/305</t>
  </si>
  <si>
    <t>ES fondu atbalstīto projektu priekšfin.un līdzfinansējums</t>
  </si>
  <si>
    <t>A2/1/07/306</t>
  </si>
  <si>
    <t>Energoefekt. Paaugstināšanai: 4.vsk., 6.vsk, 4.psk, 1.intern.psk.</t>
  </si>
  <si>
    <t>11.04.2008.-</t>
  </si>
  <si>
    <t>A2/1/10/470</t>
  </si>
  <si>
    <t>20.02.2022.</t>
  </si>
  <si>
    <t>Projekts "Biznesa inkubatora izveide"</t>
  </si>
  <si>
    <t>A2/1/10/468</t>
  </si>
  <si>
    <t>Pamatkapitāla palielināšana pašvaldības SIA</t>
  </si>
  <si>
    <t>A2/1/10/469</t>
  </si>
  <si>
    <t>Pilsētas ielu un infrastruktūras objektu renovācijai</t>
  </si>
  <si>
    <t>A2/1/10/467</t>
  </si>
  <si>
    <t>Dzīvojamā fonda iegādei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</si>
  <si>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</si>
  <si>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</si>
  <si>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</si>
  <si>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</si>
  <si>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</si>
  <si>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</si>
  <si>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</si>
  <si>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</si>
  <si>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</si>
  <si>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</si>
  <si>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atjaunošanai</t>
  </si>
  <si>
    <t>A2/1/10/464</t>
  </si>
  <si>
    <t>20.08.2022.</t>
  </si>
  <si>
    <t xml:space="preserve">Atraktīvu un pieejamu muzeju attīstība Zemgalē unZiemeļlietuvā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</si>
  <si>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</si>
  <si>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</si>
  <si>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</si>
  <si>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</si>
  <si>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</si>
  <si>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veidošanai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</si>
  <si>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</si>
  <si>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</si>
  <si>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</si>
  <si>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</si>
  <si>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</si>
  <si>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</si>
  <si>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</si>
  <si>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</si>
  <si>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</si>
  <si>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</si>
  <si>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</si>
  <si>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</si>
  <si>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</si>
  <si>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</si>
  <si>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</si>
  <si>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</si>
  <si>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</si>
  <si>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</si>
  <si>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</si>
  <si>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</si>
  <si>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</si>
  <si>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</si>
  <si>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uzlabošanai Rūpniecības - Atmodas ielas posmā</t>
  </si>
  <si>
    <t>20.05.2010-</t>
  </si>
  <si>
    <t>A2/1/10/334</t>
  </si>
  <si>
    <t>Sadarbība mācību programmu kvalitātes uzlabošanai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</si>
  <si>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</si>
  <si>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</si>
  <si>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</si>
  <si>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</si>
  <si>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</si>
  <si>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</si>
  <si>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</si>
  <si>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</si>
  <si>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</si>
  <si>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</si>
  <si>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</si>
  <si>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</si>
  <si>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</si>
  <si>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</si>
  <si>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</si>
  <si>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</si>
  <si>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</si>
  <si>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</si>
  <si>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</si>
  <si>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</si>
  <si>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</si>
  <si>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</si>
  <si>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</si>
  <si>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</si>
  <si>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</si>
  <si>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</si>
  <si>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</si>
  <si>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</si>
  <si>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</si>
  <si>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</si>
  <si>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</si>
  <si>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</si>
  <si>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</si>
  <si>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</si>
  <si>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</si>
  <si>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</si>
  <si>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</si>
  <si>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</si>
  <si>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</si>
  <si>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Zinātnes un ražošanas sadarbības veidošana Jelgavā un Šauļos</t>
  </si>
  <si>
    <t>13.05.2011-20.04.2025</t>
  </si>
  <si>
    <t>A2/1/11/203</t>
  </si>
  <si>
    <t>Šauļu un Jelgavas pilsētas pašv. Sadarb. kult. un sporta dzīves pilnv.</t>
  </si>
  <si>
    <t>A2/1/11/204</t>
  </si>
  <si>
    <t>Radošo industriju attīstība Latvijas un Lietuvas pierobežas reģionā</t>
  </si>
  <si>
    <t>A2/1/11/205</t>
  </si>
  <si>
    <t>Meliorat. Sist. rekonstrukc.cukura rūpn. skartajās terit.Jelgavā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</si>
  <si>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</si>
  <si>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</si>
  <si>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</si>
  <si>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</si>
  <si>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</si>
  <si>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uzlab.Amatu vssk.</t>
  </si>
  <si>
    <t>07.12.2011-20.04.2025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</si>
  <si>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</si>
  <si>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</si>
  <si>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</si>
  <si>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</si>
  <si>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</si>
  <si>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</si>
  <si>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</si>
  <si>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akt.atp.prod.veidoš.</t>
  </si>
  <si>
    <t>16.11.2012. - 20.11.2026.</t>
  </si>
  <si>
    <t>A2/1/12/690</t>
  </si>
  <si>
    <t>Hidrotehnisko būvju rekonstrukcija plūdu draudu risku novēršanai</t>
  </si>
  <si>
    <t>06.09.2012-20.09.2012.</t>
  </si>
  <si>
    <t>A2/1/12/493</t>
  </si>
  <si>
    <t>Ekoloģisko avāriju likvidēšana un vides piesārņojuma mazināšana</t>
  </si>
  <si>
    <t>12.07.2012.-20.07.2026.</t>
  </si>
  <si>
    <t>A2/1/12/345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</si>
  <si>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</si>
  <si>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</si>
  <si>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</si>
  <si>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</si>
  <si>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</si>
  <si>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</si>
  <si>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Glābšanas komandas izveide plūdu situāciju novēršanai</t>
  </si>
  <si>
    <t>20.06.2012. - 20.06.2026.</t>
  </si>
  <si>
    <t>A2/1/12/267</t>
  </si>
  <si>
    <t>Lietuvas šosejas rekonstrukcija</t>
  </si>
  <si>
    <t>25.09.2012. - 20.09.2026.</t>
  </si>
  <si>
    <t>A2/1/12/532</t>
  </si>
  <si>
    <t>PII Skautu iela 1a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</si>
  <si>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</si>
  <si>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</si>
  <si>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</si>
  <si>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</si>
  <si>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</si>
  <si>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</si>
  <si>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</si>
  <si>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</si>
  <si>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</si>
  <si>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</si>
  <si>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</si>
  <si>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</si>
  <si>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</si>
  <si>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</si>
  <si>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>Projekts 2013 (iekļautie budžetā)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</si>
  <si>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</si>
  <si>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</si>
  <si>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</si>
  <si>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</si>
  <si>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</si>
  <si>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</si>
  <si>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Subsīdija nodibinājumam "Jāņa Bisenieka fonds"</t>
  </si>
  <si>
    <t>Precizētais plāns uz 31.12.2013.</t>
  </si>
  <si>
    <t xml:space="preserve"> 4. pielikums</t>
  </si>
  <si>
    <t xml:space="preserve">             JELGAVAS PILSĒTAS  PAŠVALDĪBAS  2013.GADA  SPECIĀLAIS  BUDŽETS</t>
  </si>
  <si>
    <t>Klasifikā-cijas kods</t>
  </si>
  <si>
    <t>SPECIĀLĀ BUDŽETA NOSAUKUMS</t>
  </si>
  <si>
    <t>2013.gada ieņēmumu plāns</t>
  </si>
  <si>
    <t>NL atlikums uz 31.12.2012.</t>
  </si>
  <si>
    <t>2013.gada SB resursu plāns</t>
  </si>
  <si>
    <t>Grozījumi +,-</t>
  </si>
  <si>
    <t>I</t>
  </si>
  <si>
    <t xml:space="preserve">Dabas resursu nodoklis </t>
  </si>
  <si>
    <t>05.531.</t>
  </si>
  <si>
    <t>Dabas resursu nodoklis par dabas resursu ieguvi un vides piesārņojumu</t>
  </si>
  <si>
    <t>t.sk. SIA "Jelgavas ūdens" pamatkapitāla palielināšana</t>
  </si>
  <si>
    <t>II</t>
  </si>
  <si>
    <t>Mērķdotāciju fonda līdzekļi</t>
  </si>
  <si>
    <t>Mērķdotācija pašvaldību autoceļu (ielu) fondiem</t>
  </si>
  <si>
    <t>Mērķdotācija pašvaldībām  pasažieru regulārajiem pārvadājumiem ar autobusiem</t>
  </si>
  <si>
    <t>III</t>
  </si>
  <si>
    <t>Pārējie speciālā budžeta līdzekļi</t>
  </si>
  <si>
    <t>KOPĀ SPECIĀLO BUDŽETU LĪDZEKĻI (I+II+III)</t>
  </si>
  <si>
    <t>Precizētais resursu plāns uz 31.12.2013.</t>
  </si>
  <si>
    <t>Precizētais izdevumu plāns uz 31.12.2013.</t>
  </si>
  <si>
    <t>Pasta salas labiekārtošana - II kārta</t>
  </si>
  <si>
    <t>A2/1/13/996</t>
  </si>
  <si>
    <t>PRECIZĒTAIS PLĀNS uz 31.12.2013.</t>
  </si>
  <si>
    <t>SAISTOŠAJIEM NOTEIKUMIEM Nr.14-1</t>
  </si>
  <si>
    <t>23.01.2014. lēmums Nr.1/1</t>
  </si>
  <si>
    <t xml:space="preserve">23.01.2014.lēmums Nr.1/1  </t>
  </si>
  <si>
    <t xml:space="preserve">SAISTOŠAJIEM NOTEIKUMIEM Nr.14-1 </t>
  </si>
  <si>
    <t xml:space="preserve">23.01.2014.lēmums Nr.1/1 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</si>
</sst>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\ _L_s_-;\-* #,##0\ _L_s_-;_-* &quot;-&quot;??\ _L_s_-;_-@_-"/>
    <numFmt numFmtId="184" formatCode="_-* #,##0.0\ _L_s_-;\-* #,##0.0\ _L_s_-;_-* &quot;-&quot;??\ _L_s_-;_-@_-"/>
    <numFmt numFmtId="185" formatCode="0.000%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_-;\-* #,##0_-;_-* &quot;-&quot;??_-;_-@_-"/>
    <numFmt numFmtId="195" formatCode="_-* #,##0.000\ &quot;Ls&quot;_-;\-* #,##0.000\ &quot;Ls&quot;_-;_-* &quot;-&quot;??\ &quot;Ls&quot;_-;_-@_-"/>
    <numFmt numFmtId="196" formatCode="_-* #,##0.0000\ &quot;Ls&quot;_-;\-* #,##0.0000\ &quot;Ls&quot;_-;_-* &quot;-&quot;??\ &quot;Ls&quot;_-;_-@_-"/>
    <numFmt numFmtId="197" formatCode="_-* #,##0.00000\ &quot;Ls&quot;_-;\-* #,##0.00000\ &quot;Ls&quot;_-;_-* &quot;-&quot;??\ &quot;Ls&quot;_-;_-@_-"/>
    <numFmt numFmtId="198" formatCode="_-* #,##0.000000\ &quot;Ls&quot;_-;\-* #,##0.000000\ &quot;Ls&quot;_-;_-* &quot;-&quot;??\ &quot;Ls&quot;_-;_-@_-"/>
    <numFmt numFmtId="199" formatCode="_-* #,##0.0000000\ &quot;Ls&quot;_-;\-* #,##0.0000000\ &quot;Ls&quot;_-;_-* &quot;-&quot;??\ &quot;Ls&quot;_-;_-@_-"/>
    <numFmt numFmtId="200" formatCode="_-* #,##0.000\ _L_s_-;\-* #,##0.000\ _L_s_-;_-* &quot;-&quot;??\ _L_s_-;_-@_-"/>
    <numFmt numFmtId="201" formatCode="_-* #,##0.0000\ _L_s_-;\-* #,##0.0000\ _L_s_-;_-* &quot;-&quot;??\ _L_s_-;_-@_-"/>
    <numFmt numFmtId="202" formatCode="[$-426]dddd\,\ yyyy&quot;. gada &quot;d\.\ mmmm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_-;\-* #,##0.0_-;_-* &quot;-&quot;??_-;_-@_-"/>
    <numFmt numFmtId="208" formatCode="_-* #,##0.0\ &quot;Ls&quot;_-;\-* #,##0.0\ &quot;Ls&quot;_-;_-* &quot;-&quot;??\ &quot;Ls&quot;_-;_-@_-"/>
    <numFmt numFmtId="209" formatCode="_-* #,##0\ &quot;Ls&quot;_-;\-* #,##0\ &quot;Ls&quot;_-;_-* &quot;-&quot;??\ &quot;Ls&quot;_-;_-@_-"/>
    <numFmt numFmtId="210" formatCode="[$€-2]\ #,##0.00_);[Red]\([$€-2]\ #,##0.00\)"/>
    <numFmt numFmtId="211" formatCode="0.000000000"/>
    <numFmt numFmtId="212" formatCode="_-* #,##0.000000_-;\-* #,##0.000000_-;_-* &quot;-&quot;??????_-;_-@_-"/>
    <numFmt numFmtId="213" formatCode="[$€-2]\ #,##0.00"/>
    <numFmt numFmtId="214" formatCode="[$€-2]\ #,##0.0"/>
    <numFmt numFmtId="215" formatCode="[$€-2]\ #,##0"/>
    <numFmt numFmtId="216" formatCode="[$€-2]\ #,##0.00;\-[$€-2]\ #,##0.00"/>
    <numFmt numFmtId="217" formatCode="mmm/yyyy"/>
    <numFmt numFmtId="218" formatCode="#,##0.0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Times New Roman"/>
      <family val="1"/>
    </font>
    <font>
      <sz val="12"/>
      <name val="Times New Roman Baltic"/>
      <family val="1"/>
    </font>
    <font>
      <b/>
      <i/>
      <sz val="12"/>
      <name val="Times New Roman Baltic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9" fillId="24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3" fontId="19" fillId="0" borderId="13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2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wrapText="1" indent="2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right" indent="1"/>
    </xf>
    <xf numFmtId="3" fontId="12" fillId="0" borderId="13" xfId="0" applyNumberFormat="1" applyFont="1" applyBorder="1" applyAlignment="1">
      <alignment horizontal="right" indent="1"/>
    </xf>
    <xf numFmtId="3" fontId="11" fillId="0" borderId="13" xfId="0" applyNumberFormat="1" applyFont="1" applyFill="1" applyBorder="1" applyAlignment="1">
      <alignment horizontal="right" inden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 wrapText="1"/>
    </xf>
    <xf numFmtId="3" fontId="12" fillId="11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3" fontId="11" fillId="24" borderId="13" xfId="0" applyNumberFormat="1" applyFont="1" applyFill="1" applyBorder="1" applyAlignment="1">
      <alignment horizontal="right" indent="1"/>
    </xf>
    <xf numFmtId="0" fontId="11" fillId="0" borderId="13" xfId="0" applyFont="1" applyBorder="1" applyAlignment="1">
      <alignment/>
    </xf>
    <xf numFmtId="0" fontId="12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wrapText="1"/>
    </xf>
    <xf numFmtId="3" fontId="12" fillId="11" borderId="11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 wrapText="1"/>
    </xf>
    <xf numFmtId="3" fontId="12" fillId="11" borderId="13" xfId="0" applyNumberFormat="1" applyFont="1" applyFill="1" applyBorder="1" applyAlignment="1">
      <alignment horizontal="right" vertical="center" indent="1"/>
    </xf>
    <xf numFmtId="0" fontId="12" fillId="11" borderId="1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 wrapText="1"/>
    </xf>
    <xf numFmtId="3" fontId="5" fillId="11" borderId="25" xfId="0" applyNumberFormat="1" applyFont="1" applyFill="1" applyBorder="1" applyAlignment="1">
      <alignment horizontal="center"/>
    </xf>
    <xf numFmtId="3" fontId="5" fillId="11" borderId="26" xfId="0" applyNumberFormat="1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3" fontId="5" fillId="11" borderId="28" xfId="0" applyNumberFormat="1" applyFont="1" applyFill="1" applyBorder="1" applyAlignment="1">
      <alignment horizontal="center"/>
    </xf>
    <xf numFmtId="3" fontId="5" fillId="11" borderId="29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0" fillId="0" borderId="13" xfId="0" applyNumberFormat="1" applyFont="1" applyFill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7" fillId="24" borderId="13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5" fillId="11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0" fontId="3" fillId="11" borderId="34" xfId="0" applyFont="1" applyFill="1" applyBorder="1" applyAlignment="1">
      <alignment horizontal="center" wrapText="1"/>
    </xf>
    <xf numFmtId="3" fontId="3" fillId="11" borderId="34" xfId="0" applyNumberFormat="1" applyFont="1" applyFill="1" applyBorder="1" applyAlignment="1">
      <alignment horizontal="center"/>
    </xf>
    <xf numFmtId="3" fontId="3" fillId="11" borderId="3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8" borderId="34" xfId="0" applyFont="1" applyFill="1" applyBorder="1" applyAlignment="1">
      <alignment horizontal="center" wrapText="1"/>
    </xf>
    <xf numFmtId="3" fontId="18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5" fillId="11" borderId="17" xfId="0" applyNumberFormat="1" applyFont="1" applyFill="1" applyBorder="1" applyAlignment="1">
      <alignment horizontal="center" vertical="center" wrapText="1"/>
    </xf>
    <xf numFmtId="3" fontId="48" fillId="11" borderId="17" xfId="0" applyNumberFormat="1" applyFont="1" applyFill="1" applyBorder="1" applyAlignment="1">
      <alignment horizontal="center" vertical="center" wrapText="1"/>
    </xf>
    <xf numFmtId="3" fontId="15" fillId="11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5" fillId="8" borderId="36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/>
    </xf>
    <xf numFmtId="0" fontId="12" fillId="8" borderId="13" xfId="0" applyFont="1" applyFill="1" applyBorder="1" applyAlignment="1">
      <alignment horizontal="center" wrapText="1"/>
    </xf>
    <xf numFmtId="3" fontId="12" fillId="8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left" wrapText="1" indent="1"/>
    </xf>
    <xf numFmtId="0" fontId="18" fillId="8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 wrapText="1"/>
    </xf>
    <xf numFmtId="0" fontId="12" fillId="22" borderId="13" xfId="0" applyFont="1" applyFill="1" applyBorder="1" applyAlignment="1">
      <alignment horizontal="left"/>
    </xf>
    <xf numFmtId="0" fontId="12" fillId="22" borderId="13" xfId="0" applyFont="1" applyFill="1" applyBorder="1" applyAlignment="1">
      <alignment wrapText="1"/>
    </xf>
    <xf numFmtId="3" fontId="12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/>
    </xf>
    <xf numFmtId="3" fontId="11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wrapText="1" indent="1"/>
    </xf>
    <xf numFmtId="3" fontId="2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3" fontId="21" fillId="0" borderId="31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5" fillId="11" borderId="20" xfId="0" applyFont="1" applyFill="1" applyBorder="1" applyAlignment="1">
      <alignment/>
    </xf>
    <xf numFmtId="0" fontId="15" fillId="11" borderId="20" xfId="0" applyFont="1" applyFill="1" applyBorder="1" applyAlignment="1">
      <alignment horizontal="center"/>
    </xf>
    <xf numFmtId="3" fontId="15" fillId="11" borderId="17" xfId="0" applyNumberFormat="1" applyFont="1" applyFill="1" applyBorder="1" applyAlignment="1">
      <alignment horizontal="center"/>
    </xf>
    <xf numFmtId="3" fontId="48" fillId="11" borderId="17" xfId="0" applyNumberFormat="1" applyFont="1" applyFill="1" applyBorder="1" applyAlignment="1">
      <alignment horizontal="center"/>
    </xf>
    <xf numFmtId="3" fontId="15" fillId="11" borderId="3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40" fillId="0" borderId="13" xfId="0" applyFont="1" applyBorder="1" applyAlignment="1">
      <alignment horizontal="left" wrapText="1" indent="1"/>
    </xf>
    <xf numFmtId="3" fontId="21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11" borderId="13" xfId="0" applyFont="1" applyFill="1" applyBorder="1" applyAlignment="1">
      <alignment vertical="center" wrapText="1"/>
    </xf>
    <xf numFmtId="3" fontId="15" fillId="11" borderId="13" xfId="0" applyNumberFormat="1" applyFont="1" applyFill="1" applyBorder="1" applyAlignment="1">
      <alignment horizontal="center" vertical="center"/>
    </xf>
    <xf numFmtId="3" fontId="48" fillId="11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42" fillId="0" borderId="13" xfId="0" applyFont="1" applyBorder="1" applyAlignment="1">
      <alignment horizontal="left" vertical="center" wrapText="1" indent="1"/>
    </xf>
    <xf numFmtId="3" fontId="16" fillId="24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wrapText="1"/>
    </xf>
    <xf numFmtId="3" fontId="19" fillId="24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wrapText="1"/>
    </xf>
    <xf numFmtId="0" fontId="40" fillId="0" borderId="13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3" fontId="46" fillId="0" borderId="13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3" fontId="21" fillId="0" borderId="11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wrapText="1"/>
    </xf>
    <xf numFmtId="3" fontId="17" fillId="0" borderId="19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/>
    </xf>
    <xf numFmtId="0" fontId="15" fillId="11" borderId="12" xfId="0" applyFont="1" applyFill="1" applyBorder="1" applyAlignment="1">
      <alignment vertical="center" wrapText="1"/>
    </xf>
    <xf numFmtId="3" fontId="15" fillId="11" borderId="19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3" fontId="18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0" fontId="15" fillId="11" borderId="12" xfId="0" applyFont="1" applyFill="1" applyBorder="1" applyAlignment="1">
      <alignment horizontal="left" vertical="center" wrapText="1"/>
    </xf>
    <xf numFmtId="3" fontId="17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center"/>
    </xf>
    <xf numFmtId="0" fontId="15" fillId="0" borderId="42" xfId="0" applyFont="1" applyBorder="1" applyAlignment="1">
      <alignment/>
    </xf>
    <xf numFmtId="3" fontId="17" fillId="0" borderId="43" xfId="0" applyNumberFormat="1" applyFont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3" fontId="21" fillId="11" borderId="17" xfId="0" applyNumberFormat="1" applyFont="1" applyFill="1" applyBorder="1" applyAlignment="1">
      <alignment horizontal="center"/>
    </xf>
    <xf numFmtId="3" fontId="18" fillId="11" borderId="17" xfId="0" applyNumberFormat="1" applyFont="1" applyFill="1" applyBorder="1" applyAlignment="1">
      <alignment horizontal="center"/>
    </xf>
    <xf numFmtId="3" fontId="20" fillId="11" borderId="17" xfId="0" applyNumberFormat="1" applyFont="1" applyFill="1" applyBorder="1" applyAlignment="1">
      <alignment horizontal="center"/>
    </xf>
    <xf numFmtId="3" fontId="18" fillId="11" borderId="3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3" fontId="18" fillId="0" borderId="44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right" wrapText="1"/>
    </xf>
    <xf numFmtId="3" fontId="21" fillId="0" borderId="15" xfId="0" applyNumberFormat="1" applyFont="1" applyBorder="1" applyAlignment="1">
      <alignment horizontal="center"/>
    </xf>
    <xf numFmtId="3" fontId="18" fillId="0" borderId="45" xfId="0" applyNumberFormat="1" applyFont="1" applyBorder="1" applyAlignment="1">
      <alignment horizontal="center"/>
    </xf>
    <xf numFmtId="0" fontId="40" fillId="0" borderId="15" xfId="0" applyFont="1" applyBorder="1" applyAlignment="1">
      <alignment horizontal="left" wrapText="1" indent="1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7" fillId="0" borderId="44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right" wrapText="1"/>
    </xf>
    <xf numFmtId="3" fontId="16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12" fillId="22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5" fillId="11" borderId="46" xfId="0" applyFont="1" applyFill="1" applyBorder="1" applyAlignment="1">
      <alignment vertical="center" wrapText="1"/>
    </xf>
    <xf numFmtId="0" fontId="15" fillId="11" borderId="47" xfId="0" applyFont="1" applyFill="1" applyBorder="1" applyAlignment="1">
      <alignment vertical="center" wrapText="1"/>
    </xf>
    <xf numFmtId="3" fontId="15" fillId="11" borderId="47" xfId="0" applyNumberFormat="1" applyFont="1" applyFill="1" applyBorder="1" applyAlignment="1">
      <alignment horizontal="center" vertical="center" wrapText="1"/>
    </xf>
    <xf numFmtId="3" fontId="48" fillId="11" borderId="47" xfId="0" applyNumberFormat="1" applyFont="1" applyFill="1" applyBorder="1" applyAlignment="1">
      <alignment horizontal="center" vertical="center" wrapText="1"/>
    </xf>
    <xf numFmtId="3" fontId="15" fillId="11" borderId="48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wrapText="1"/>
    </xf>
    <xf numFmtId="0" fontId="0" fillId="0" borderId="0" xfId="60">
      <alignment/>
      <protection/>
    </xf>
    <xf numFmtId="0" fontId="11" fillId="0" borderId="0" xfId="60" applyFont="1" applyAlignment="1">
      <alignment horizontal="right"/>
      <protection/>
    </xf>
    <xf numFmtId="0" fontId="11" fillId="0" borderId="0" xfId="60" applyFont="1" applyFill="1" applyAlignment="1">
      <alignment horizontal="right"/>
      <protection/>
    </xf>
    <xf numFmtId="0" fontId="4" fillId="0" borderId="0" xfId="60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Border="1">
      <alignment/>
      <protection/>
    </xf>
    <xf numFmtId="0" fontId="16" fillId="0" borderId="0" xfId="60" applyFont="1" applyBorder="1">
      <alignment/>
      <protection/>
    </xf>
    <xf numFmtId="0" fontId="17" fillId="0" borderId="0" xfId="60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5" fillId="25" borderId="16" xfId="60" applyFont="1" applyFill="1" applyBorder="1" applyAlignment="1">
      <alignment horizontal="center" vertical="center" wrapText="1"/>
      <protection/>
    </xf>
    <xf numFmtId="0" fontId="5" fillId="25" borderId="17" xfId="60" applyFont="1" applyFill="1" applyBorder="1" applyAlignment="1">
      <alignment horizontal="center" vertical="center" wrapText="1"/>
      <protection/>
    </xf>
    <xf numFmtId="0" fontId="5" fillId="25" borderId="33" xfId="60" applyFont="1" applyFill="1" applyBorder="1" applyAlignment="1">
      <alignment horizontal="center" vertical="center" wrapText="1"/>
      <protection/>
    </xf>
    <xf numFmtId="0" fontId="5" fillId="0" borderId="27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vertical="center" wrapText="1"/>
      <protection/>
    </xf>
    <xf numFmtId="3" fontId="5" fillId="0" borderId="28" xfId="60" applyNumberFormat="1" applyFont="1" applyBorder="1" applyAlignment="1">
      <alignment vertical="center"/>
      <protection/>
    </xf>
    <xf numFmtId="3" fontId="5" fillId="26" borderId="28" xfId="60" applyNumberFormat="1" applyFont="1" applyFill="1" applyBorder="1" applyAlignment="1">
      <alignment vertical="center"/>
      <protection/>
    </xf>
    <xf numFmtId="3" fontId="5" fillId="26" borderId="49" xfId="60" applyNumberFormat="1" applyFont="1" applyFill="1" applyBorder="1" applyAlignment="1">
      <alignment vertical="center"/>
      <protection/>
    </xf>
    <xf numFmtId="0" fontId="4" fillId="0" borderId="0" xfId="60" applyFont="1">
      <alignment/>
      <protection/>
    </xf>
    <xf numFmtId="0" fontId="5" fillId="0" borderId="50" xfId="60" applyFont="1" applyBorder="1" applyAlignment="1">
      <alignment horizontal="left" vertical="center" wrapText="1"/>
      <protection/>
    </xf>
    <xf numFmtId="0" fontId="1" fillId="0" borderId="51" xfId="60" applyFont="1" applyBorder="1" applyAlignment="1">
      <alignment vertical="center" wrapText="1"/>
      <protection/>
    </xf>
    <xf numFmtId="3" fontId="1" fillId="0" borderId="51" xfId="44" applyNumberFormat="1" applyFont="1" applyBorder="1" applyAlignment="1">
      <alignment vertical="center" wrapText="1"/>
    </xf>
    <xf numFmtId="3" fontId="1" fillId="0" borderId="51" xfId="60" applyNumberFormat="1" applyFont="1" applyBorder="1" applyAlignment="1">
      <alignment vertical="center"/>
      <protection/>
    </xf>
    <xf numFmtId="3" fontId="1" fillId="26" borderId="51" xfId="60" applyNumberFormat="1" applyFont="1" applyFill="1" applyBorder="1" applyAlignment="1">
      <alignment vertical="center"/>
      <protection/>
    </xf>
    <xf numFmtId="3" fontId="1" fillId="26" borderId="52" xfId="60" applyNumberFormat="1" applyFont="1" applyFill="1" applyBorder="1" applyAlignment="1">
      <alignment vertical="center"/>
      <protection/>
    </xf>
    <xf numFmtId="0" fontId="5" fillId="0" borderId="53" xfId="60" applyFont="1" applyBorder="1" applyAlignment="1">
      <alignment horizontal="left" vertical="center" wrapText="1"/>
      <protection/>
    </xf>
    <xf numFmtId="0" fontId="1" fillId="0" borderId="54" xfId="60" applyFont="1" applyBorder="1" applyAlignment="1">
      <alignment horizontal="right" vertical="center" wrapText="1"/>
      <protection/>
    </xf>
    <xf numFmtId="3" fontId="1" fillId="0" borderId="54" xfId="44" applyNumberFormat="1" applyFont="1" applyBorder="1" applyAlignment="1">
      <alignment vertical="center" wrapText="1"/>
    </xf>
    <xf numFmtId="3" fontId="1" fillId="0" borderId="54" xfId="60" applyNumberFormat="1" applyFont="1" applyBorder="1" applyAlignment="1">
      <alignment vertical="center"/>
      <protection/>
    </xf>
    <xf numFmtId="3" fontId="1" fillId="26" borderId="54" xfId="60" applyNumberFormat="1" applyFont="1" applyFill="1" applyBorder="1" applyAlignment="1">
      <alignment vertical="center"/>
      <protection/>
    </xf>
    <xf numFmtId="3" fontId="1" fillId="26" borderId="55" xfId="60" applyNumberFormat="1" applyFont="1" applyFill="1" applyBorder="1" applyAlignment="1">
      <alignment vertical="center"/>
      <protection/>
    </xf>
    <xf numFmtId="0" fontId="5" fillId="0" borderId="28" xfId="60" applyFont="1" applyBorder="1" applyAlignment="1">
      <alignment horizontal="left" vertical="center" wrapText="1"/>
      <protection/>
    </xf>
    <xf numFmtId="0" fontId="1" fillId="0" borderId="51" xfId="60" applyFont="1" applyBorder="1" applyAlignment="1">
      <alignment horizontal="left" vertical="center" wrapText="1"/>
      <protection/>
    </xf>
    <xf numFmtId="3" fontId="5" fillId="0" borderId="51" xfId="60" applyNumberFormat="1" applyFont="1" applyBorder="1" applyAlignment="1">
      <alignment vertical="center"/>
      <protection/>
    </xf>
    <xf numFmtId="3" fontId="5" fillId="26" borderId="51" xfId="60" applyNumberFormat="1" applyFont="1" applyFill="1" applyBorder="1" applyAlignment="1">
      <alignment vertical="center"/>
      <protection/>
    </xf>
    <xf numFmtId="3" fontId="5" fillId="26" borderId="52" xfId="60" applyNumberFormat="1" applyFont="1" applyFill="1" applyBorder="1" applyAlignment="1">
      <alignment vertical="center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left" vertical="center" wrapText="1"/>
      <protection/>
    </xf>
    <xf numFmtId="3" fontId="6" fillId="0" borderId="11" xfId="60" applyNumberFormat="1" applyFont="1" applyBorder="1" applyAlignment="1">
      <alignment horizontal="right" vertical="center" wrapText="1"/>
      <protection/>
    </xf>
    <xf numFmtId="3" fontId="6" fillId="0" borderId="11" xfId="60" applyNumberFormat="1" applyFont="1" applyBorder="1" applyAlignment="1">
      <alignment vertical="center"/>
      <protection/>
    </xf>
    <xf numFmtId="3" fontId="6" fillId="26" borderId="11" xfId="60" applyNumberFormat="1" applyFont="1" applyFill="1" applyBorder="1" applyAlignment="1">
      <alignment vertical="center"/>
      <protection/>
    </xf>
    <xf numFmtId="3" fontId="6" fillId="26" borderId="44" xfId="60" applyNumberFormat="1" applyFont="1" applyFill="1" applyBorder="1" applyAlignment="1">
      <alignment vertical="center"/>
      <protection/>
    </xf>
    <xf numFmtId="0" fontId="6" fillId="0" borderId="31" xfId="60" applyFont="1" applyBorder="1" applyAlignment="1">
      <alignment horizontal="left" vertical="center" wrapText="1"/>
      <protection/>
    </xf>
    <xf numFmtId="3" fontId="6" fillId="0" borderId="31" xfId="60" applyNumberFormat="1" applyFont="1" applyBorder="1" applyAlignment="1">
      <alignment horizontal="right" vertical="center" wrapText="1"/>
      <protection/>
    </xf>
    <xf numFmtId="3" fontId="6" fillId="0" borderId="54" xfId="60" applyNumberFormat="1" applyFont="1" applyBorder="1" applyAlignment="1">
      <alignment vertical="center" wrapText="1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left" vertical="center" wrapText="1"/>
      <protection/>
    </xf>
    <xf numFmtId="3" fontId="5" fillId="0" borderId="17" xfId="60" applyNumberFormat="1" applyFont="1" applyBorder="1" applyAlignment="1">
      <alignment vertical="center" wrapText="1"/>
      <protection/>
    </xf>
    <xf numFmtId="3" fontId="5" fillId="26" borderId="17" xfId="60" applyNumberFormat="1" applyFont="1" applyFill="1" applyBorder="1" applyAlignment="1">
      <alignment vertical="center" wrapText="1"/>
      <protection/>
    </xf>
    <xf numFmtId="3" fontId="5" fillId="26" borderId="33" xfId="60" applyNumberFormat="1" applyFont="1" applyFill="1" applyBorder="1" applyAlignment="1">
      <alignment vertical="center" wrapText="1"/>
      <protection/>
    </xf>
    <xf numFmtId="0" fontId="1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3" fontId="5" fillId="0" borderId="17" xfId="60" applyNumberFormat="1" applyFont="1" applyBorder="1" applyAlignment="1">
      <alignment vertical="center"/>
      <protection/>
    </xf>
    <xf numFmtId="3" fontId="5" fillId="26" borderId="17" xfId="60" applyNumberFormat="1" applyFont="1" applyFill="1" applyBorder="1" applyAlignment="1">
      <alignment vertical="center"/>
      <protection/>
    </xf>
    <xf numFmtId="3" fontId="5" fillId="26" borderId="33" xfId="60" applyNumberFormat="1" applyFont="1" applyFill="1" applyBorder="1" applyAlignment="1">
      <alignment vertical="center"/>
      <protection/>
    </xf>
    <xf numFmtId="0" fontId="53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54" fillId="0" borderId="0" xfId="60" applyFont="1" applyBorder="1" applyAlignment="1">
      <alignment horizontal="center" wrapText="1"/>
      <protection/>
    </xf>
    <xf numFmtId="0" fontId="54" fillId="0" borderId="0" xfId="60" applyFont="1" applyBorder="1" applyAlignment="1">
      <alignment horizontal="center" wrapText="1"/>
      <protection/>
    </xf>
    <xf numFmtId="0" fontId="55" fillId="25" borderId="17" xfId="6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27" borderId="56" xfId="0" applyFont="1" applyFill="1" applyBorder="1" applyAlignment="1">
      <alignment horizontal="center" vertical="center"/>
    </xf>
    <xf numFmtId="0" fontId="18" fillId="11" borderId="56" xfId="0" applyFont="1" applyFill="1" applyBorder="1" applyAlignment="1">
      <alignment vertical="center"/>
    </xf>
    <xf numFmtId="0" fontId="18" fillId="11" borderId="5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27" borderId="58" xfId="0" applyFont="1" applyFill="1" applyBorder="1" applyAlignment="1">
      <alignment horizontal="center" vertical="center"/>
    </xf>
    <xf numFmtId="0" fontId="18" fillId="11" borderId="5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56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center"/>
    </xf>
    <xf numFmtId="0" fontId="17" fillId="0" borderId="56" xfId="0" applyFont="1" applyFill="1" applyBorder="1" applyAlignment="1">
      <alignment/>
    </xf>
    <xf numFmtId="0" fontId="17" fillId="0" borderId="60" xfId="0" applyFont="1" applyFill="1" applyBorder="1" applyAlignment="1">
      <alignment/>
    </xf>
    <xf numFmtId="4" fontId="17" fillId="0" borderId="57" xfId="0" applyNumberFormat="1" applyFont="1" applyFill="1" applyBorder="1" applyAlignment="1">
      <alignment/>
    </xf>
    <xf numFmtId="0" fontId="17" fillId="0" borderId="6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/>
    </xf>
    <xf numFmtId="10" fontId="17" fillId="0" borderId="61" xfId="0" applyNumberFormat="1" applyFont="1" applyFill="1" applyBorder="1" applyAlignment="1">
      <alignment horizontal="center"/>
    </xf>
    <xf numFmtId="0" fontId="19" fillId="0" borderId="61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0" fontId="17" fillId="0" borderId="62" xfId="0" applyFont="1" applyFill="1" applyBorder="1" applyAlignment="1">
      <alignment/>
    </xf>
    <xf numFmtId="4" fontId="17" fillId="0" borderId="63" xfId="0" applyNumberFormat="1" applyFont="1" applyFill="1" applyBorder="1" applyAlignment="1">
      <alignment/>
    </xf>
    <xf numFmtId="14" fontId="17" fillId="0" borderId="56" xfId="0" applyNumberFormat="1" applyFont="1" applyFill="1" applyBorder="1" applyAlignment="1">
      <alignment horizontal="center"/>
    </xf>
    <xf numFmtId="14" fontId="17" fillId="0" borderId="61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9" fillId="0" borderId="62" xfId="0" applyFont="1" applyFill="1" applyBorder="1" applyAlignment="1">
      <alignment/>
    </xf>
    <xf numFmtId="10" fontId="17" fillId="0" borderId="56" xfId="0" applyNumberFormat="1" applyFont="1" applyFill="1" applyBorder="1" applyAlignment="1">
      <alignment horizontal="center"/>
    </xf>
    <xf numFmtId="1" fontId="19" fillId="0" borderId="56" xfId="0" applyNumberFormat="1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7" fillId="22" borderId="65" xfId="0" applyFont="1" applyFill="1" applyBorder="1" applyAlignment="1">
      <alignment/>
    </xf>
    <xf numFmtId="183" fontId="21" fillId="22" borderId="66" xfId="0" applyNumberFormat="1" applyFont="1" applyFill="1" applyBorder="1" applyAlignment="1">
      <alignment horizontal="center"/>
    </xf>
    <xf numFmtId="183" fontId="21" fillId="22" borderId="66" xfId="0" applyNumberFormat="1" applyFont="1" applyFill="1" applyBorder="1" applyAlignment="1">
      <alignment horizontal="right"/>
    </xf>
    <xf numFmtId="179" fontId="18" fillId="22" borderId="67" xfId="0" applyNumberFormat="1" applyFont="1" applyFill="1" applyBorder="1" applyAlignment="1">
      <alignment/>
    </xf>
    <xf numFmtId="0" fontId="17" fillId="22" borderId="68" xfId="0" applyFont="1" applyFill="1" applyBorder="1" applyAlignment="1">
      <alignment horizontal="center"/>
    </xf>
    <xf numFmtId="0" fontId="15" fillId="22" borderId="69" xfId="0" applyFont="1" applyFill="1" applyBorder="1" applyAlignment="1">
      <alignment horizontal="center"/>
    </xf>
    <xf numFmtId="183" fontId="21" fillId="22" borderId="69" xfId="0" applyNumberFormat="1" applyFont="1" applyFill="1" applyBorder="1" applyAlignment="1">
      <alignment horizontal="right"/>
    </xf>
    <xf numFmtId="183" fontId="18" fillId="22" borderId="70" xfId="0" applyNumberFormat="1" applyFont="1" applyFill="1" applyBorder="1" applyAlignment="1">
      <alignment/>
    </xf>
    <xf numFmtId="0" fontId="21" fillId="22" borderId="64" xfId="0" applyFont="1" applyFill="1" applyBorder="1" applyAlignment="1">
      <alignment horizontal="center"/>
    </xf>
    <xf numFmtId="0" fontId="21" fillId="22" borderId="71" xfId="0" applyFont="1" applyFill="1" applyBorder="1" applyAlignment="1">
      <alignment horizontal="center"/>
    </xf>
    <xf numFmtId="183" fontId="21" fillId="22" borderId="71" xfId="0" applyNumberFormat="1" applyFont="1" applyFill="1" applyBorder="1" applyAlignment="1">
      <alignment/>
    </xf>
    <xf numFmtId="183" fontId="21" fillId="22" borderId="72" xfId="0" applyNumberFormat="1" applyFont="1" applyFill="1" applyBorder="1" applyAlignment="1">
      <alignment/>
    </xf>
    <xf numFmtId="0" fontId="2" fillId="28" borderId="73" xfId="0" applyFont="1" applyFill="1" applyBorder="1" applyAlignment="1">
      <alignment/>
    </xf>
    <xf numFmtId="0" fontId="15" fillId="28" borderId="74" xfId="0" applyFont="1" applyFill="1" applyBorder="1" applyAlignment="1">
      <alignment/>
    </xf>
    <xf numFmtId="3" fontId="15" fillId="28" borderId="75" xfId="0" applyNumberFormat="1" applyFont="1" applyFill="1" applyBorder="1" applyAlignment="1">
      <alignment/>
    </xf>
    <xf numFmtId="0" fontId="15" fillId="22" borderId="76" xfId="0" applyFont="1" applyFill="1" applyBorder="1" applyAlignment="1">
      <alignment horizontal="center"/>
    </xf>
    <xf numFmtId="10" fontId="16" fillId="22" borderId="76" xfId="66" applyNumberFormat="1" applyFont="1" applyFill="1" applyBorder="1" applyAlignment="1">
      <alignment/>
    </xf>
    <xf numFmtId="10" fontId="16" fillId="22" borderId="77" xfId="66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183" fontId="4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0" fontId="0" fillId="0" borderId="0" xfId="0" applyBorder="1" applyAlignment="1">
      <alignment/>
    </xf>
    <xf numFmtId="3" fontId="49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193" fontId="17" fillId="0" borderId="60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/>
    </xf>
    <xf numFmtId="1" fontId="19" fillId="0" borderId="61" xfId="0" applyNumberFormat="1" applyFont="1" applyFill="1" applyBorder="1" applyAlignment="1">
      <alignment/>
    </xf>
    <xf numFmtId="1" fontId="19" fillId="0" borderId="61" xfId="0" applyNumberFormat="1" applyFont="1" applyFill="1" applyBorder="1" applyAlignment="1">
      <alignment horizontal="right"/>
    </xf>
    <xf numFmtId="2" fontId="19" fillId="0" borderId="56" xfId="0" applyNumberFormat="1" applyFont="1" applyFill="1" applyBorder="1" applyAlignment="1">
      <alignment/>
    </xf>
    <xf numFmtId="3" fontId="5" fillId="29" borderId="28" xfId="60" applyNumberFormat="1" applyFont="1" applyFill="1" applyBorder="1" applyAlignment="1">
      <alignment vertical="center"/>
      <protection/>
    </xf>
    <xf numFmtId="3" fontId="1" fillId="29" borderId="51" xfId="60" applyNumberFormat="1" applyFont="1" applyFill="1" applyBorder="1" applyAlignment="1">
      <alignment vertical="center"/>
      <protection/>
    </xf>
    <xf numFmtId="3" fontId="1" fillId="29" borderId="54" xfId="60" applyNumberFormat="1" applyFont="1" applyFill="1" applyBorder="1" applyAlignment="1">
      <alignment vertical="center"/>
      <protection/>
    </xf>
    <xf numFmtId="3" fontId="5" fillId="29" borderId="51" xfId="60" applyNumberFormat="1" applyFont="1" applyFill="1" applyBorder="1" applyAlignment="1">
      <alignment vertical="center"/>
      <protection/>
    </xf>
    <xf numFmtId="3" fontId="6" fillId="29" borderId="11" xfId="60" applyNumberFormat="1" applyFont="1" applyFill="1" applyBorder="1" applyAlignment="1">
      <alignment vertical="center" wrapText="1"/>
      <protection/>
    </xf>
    <xf numFmtId="3" fontId="5" fillId="29" borderId="17" xfId="60" applyNumberFormat="1" applyFont="1" applyFill="1" applyBorder="1" applyAlignment="1">
      <alignment vertical="center" wrapText="1"/>
      <protection/>
    </xf>
    <xf numFmtId="3" fontId="5" fillId="29" borderId="17" xfId="60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8" borderId="78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79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12" fillId="8" borderId="80" xfId="0" applyFont="1" applyFill="1" applyBorder="1" applyAlignment="1">
      <alignment horizontal="center" wrapText="1"/>
    </xf>
    <xf numFmtId="0" fontId="12" fillId="8" borderId="81" xfId="0" applyFont="1" applyFill="1" applyBorder="1" applyAlignment="1">
      <alignment horizontal="center" wrapText="1"/>
    </xf>
    <xf numFmtId="0" fontId="12" fillId="8" borderId="82" xfId="0" applyFont="1" applyFill="1" applyBorder="1" applyAlignment="1">
      <alignment horizontal="center" wrapText="1"/>
    </xf>
    <xf numFmtId="0" fontId="12" fillId="8" borderId="83" xfId="0" applyFont="1" applyFill="1" applyBorder="1" applyAlignment="1">
      <alignment horizontal="center" wrapText="1"/>
    </xf>
    <xf numFmtId="0" fontId="50" fillId="8" borderId="35" xfId="0" applyFont="1" applyFill="1" applyBorder="1" applyAlignment="1">
      <alignment horizontal="center" wrapText="1"/>
    </xf>
    <xf numFmtId="0" fontId="15" fillId="8" borderId="84" xfId="0" applyFont="1" applyFill="1" applyBorder="1" applyAlignment="1">
      <alignment horizontal="center" vertical="center" wrapText="1"/>
    </xf>
    <xf numFmtId="0" fontId="49" fillId="8" borderId="8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18" fillId="8" borderId="86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18" fillId="11" borderId="87" xfId="0" applyFont="1" applyFill="1" applyBorder="1" applyAlignment="1">
      <alignment horizontal="center" vertical="center" wrapText="1"/>
    </xf>
    <xf numFmtId="0" fontId="18" fillId="11" borderId="88" xfId="0" applyFont="1" applyFill="1" applyBorder="1" applyAlignment="1">
      <alignment horizontal="center" vertical="center" wrapText="1"/>
    </xf>
    <xf numFmtId="0" fontId="18" fillId="11" borderId="56" xfId="0" applyFont="1" applyFill="1" applyBorder="1" applyAlignment="1">
      <alignment horizontal="center" vertical="center" wrapText="1"/>
    </xf>
    <xf numFmtId="0" fontId="18" fillId="11" borderId="58" xfId="0" applyFont="1" applyFill="1" applyBorder="1" applyAlignment="1">
      <alignment horizontal="center" vertical="center" wrapText="1"/>
    </xf>
    <xf numFmtId="0" fontId="18" fillId="27" borderId="56" xfId="0" applyFont="1" applyFill="1" applyBorder="1" applyAlignment="1">
      <alignment horizontal="center" vertical="center"/>
    </xf>
    <xf numFmtId="0" fontId="18" fillId="27" borderId="58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/>
    </xf>
    <xf numFmtId="0" fontId="17" fillId="0" borderId="89" xfId="0" applyFont="1" applyFill="1" applyBorder="1" applyAlignment="1">
      <alignment/>
    </xf>
    <xf numFmtId="0" fontId="17" fillId="0" borderId="56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179" fontId="17" fillId="0" borderId="56" xfId="45" applyNumberFormat="1" applyFont="1" applyFill="1" applyBorder="1" applyAlignment="1">
      <alignment horizontal="center" vertical="center" wrapText="1"/>
    </xf>
    <xf numFmtId="179" fontId="17" fillId="0" borderId="61" xfId="45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183" fontId="17" fillId="0" borderId="56" xfId="45" applyNumberFormat="1" applyFont="1" applyFill="1" applyBorder="1" applyAlignment="1">
      <alignment horizontal="center" vertical="center"/>
    </xf>
    <xf numFmtId="183" fontId="17" fillId="0" borderId="61" xfId="45" applyNumberFormat="1" applyFont="1" applyFill="1" applyBorder="1" applyAlignment="1">
      <alignment horizontal="center" vertical="center"/>
    </xf>
    <xf numFmtId="3" fontId="17" fillId="0" borderId="56" xfId="0" applyNumberFormat="1" applyFont="1" applyFill="1" applyBorder="1" applyAlignment="1">
      <alignment horizontal="center" vertical="center"/>
    </xf>
    <xf numFmtId="3" fontId="17" fillId="0" borderId="61" xfId="0" applyNumberFormat="1" applyFont="1" applyFill="1" applyBorder="1" applyAlignment="1">
      <alignment horizontal="center" vertical="center"/>
    </xf>
    <xf numFmtId="4" fontId="17" fillId="0" borderId="56" xfId="0" applyNumberFormat="1" applyFont="1" applyFill="1" applyBorder="1" applyAlignment="1">
      <alignment horizontal="center" vertical="center"/>
    </xf>
    <xf numFmtId="4" fontId="17" fillId="0" borderId="61" xfId="0" applyNumberFormat="1" applyFont="1" applyFill="1" applyBorder="1" applyAlignment="1">
      <alignment horizontal="center" vertical="center"/>
    </xf>
    <xf numFmtId="179" fontId="17" fillId="0" borderId="56" xfId="45" applyNumberFormat="1" applyFont="1" applyFill="1" applyBorder="1" applyAlignment="1">
      <alignment horizontal="center" vertical="center"/>
    </xf>
    <xf numFmtId="179" fontId="17" fillId="0" borderId="61" xfId="45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90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183" fontId="17" fillId="0" borderId="90" xfId="45" applyNumberFormat="1" applyFont="1" applyFill="1" applyBorder="1" applyAlignment="1">
      <alignment horizontal="center" vertical="center"/>
    </xf>
    <xf numFmtId="183" fontId="17" fillId="0" borderId="91" xfId="45" applyNumberFormat="1" applyFont="1" applyFill="1" applyBorder="1" applyAlignment="1">
      <alignment horizontal="center" vertical="center"/>
    </xf>
    <xf numFmtId="0" fontId="15" fillId="22" borderId="66" xfId="0" applyFont="1" applyFill="1" applyBorder="1" applyAlignment="1">
      <alignment horizontal="left"/>
    </xf>
    <xf numFmtId="0" fontId="15" fillId="22" borderId="92" xfId="0" applyFont="1" applyFill="1" applyBorder="1" applyAlignment="1">
      <alignment horizontal="left"/>
    </xf>
    <xf numFmtId="0" fontId="15" fillId="22" borderId="93" xfId="0" applyFont="1" applyFill="1" applyBorder="1" applyAlignment="1">
      <alignment horizontal="left"/>
    </xf>
    <xf numFmtId="183" fontId="15" fillId="22" borderId="69" xfId="0" applyNumberFormat="1" applyFont="1" applyFill="1" applyBorder="1" applyAlignment="1">
      <alignment horizontal="left"/>
    </xf>
    <xf numFmtId="183" fontId="21" fillId="22" borderId="71" xfId="0" applyNumberFormat="1" applyFont="1" applyFill="1" applyBorder="1" applyAlignment="1">
      <alignment horizontal="left"/>
    </xf>
    <xf numFmtId="0" fontId="21" fillId="22" borderId="7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wrapText="1"/>
    </xf>
    <xf numFmtId="0" fontId="52" fillId="0" borderId="0" xfId="0" applyFont="1" applyFill="1" applyBorder="1" applyAlignment="1">
      <alignment horizontal="right"/>
    </xf>
    <xf numFmtId="0" fontId="15" fillId="28" borderId="94" xfId="0" applyFont="1" applyFill="1" applyBorder="1" applyAlignment="1">
      <alignment horizontal="left"/>
    </xf>
    <xf numFmtId="0" fontId="15" fillId="28" borderId="74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ašvaldības saistības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60">
      <selection activeCell="A1" sqref="A1:E74"/>
    </sheetView>
  </sheetViews>
  <sheetFormatPr defaultColWidth="9.140625" defaultRowHeight="12.75"/>
  <cols>
    <col min="1" max="1" width="10.140625" style="7" customWidth="1"/>
    <col min="2" max="2" width="39.57421875" style="7" customWidth="1"/>
    <col min="3" max="3" width="13.140625" style="68" customWidth="1"/>
    <col min="4" max="4" width="13.421875" style="7" customWidth="1"/>
    <col min="5" max="5" width="15.28125" style="7" customWidth="1"/>
    <col min="6" max="16384" width="9.140625" style="7" customWidth="1"/>
  </cols>
  <sheetData>
    <row r="1" spans="1:7" ht="15">
      <c r="A1" s="3"/>
      <c r="C1" s="65"/>
      <c r="D1" s="6"/>
      <c r="E1" s="6" t="s">
        <v>90</v>
      </c>
      <c r="F1" s="6"/>
      <c r="G1" s="6"/>
    </row>
    <row r="2" spans="3:7" ht="15">
      <c r="C2" s="65"/>
      <c r="D2" s="6"/>
      <c r="E2" s="6" t="s">
        <v>731</v>
      </c>
      <c r="F2" s="6"/>
      <c r="G2" s="6"/>
    </row>
    <row r="3" spans="3:7" ht="15">
      <c r="C3" s="65"/>
      <c r="D3" s="66"/>
      <c r="E3" s="6" t="s">
        <v>732</v>
      </c>
      <c r="F3" s="6"/>
      <c r="G3" s="6"/>
    </row>
    <row r="4" ht="15">
      <c r="C4" s="49"/>
    </row>
    <row r="5" spans="1:5" ht="18.75">
      <c r="A5" s="406" t="s">
        <v>362</v>
      </c>
      <c r="B5" s="406"/>
      <c r="C5" s="406"/>
      <c r="D5" s="406"/>
      <c r="E5" s="406"/>
    </row>
    <row r="6" spans="1:5" ht="15">
      <c r="A6" s="407" t="s">
        <v>28</v>
      </c>
      <c r="B6" s="407"/>
      <c r="C6" s="407"/>
      <c r="D6" s="407"/>
      <c r="E6" s="407"/>
    </row>
    <row r="7" spans="2:5" ht="15.75" thickBot="1">
      <c r="B7" s="67"/>
      <c r="E7" s="6" t="s">
        <v>29</v>
      </c>
    </row>
    <row r="8" spans="1:5" ht="43.5" thickBot="1">
      <c r="A8" s="151" t="s">
        <v>5</v>
      </c>
      <c r="B8" s="152" t="s">
        <v>145</v>
      </c>
      <c r="C8" s="153" t="s">
        <v>419</v>
      </c>
      <c r="D8" s="152" t="s">
        <v>217</v>
      </c>
      <c r="E8" s="154" t="s">
        <v>730</v>
      </c>
    </row>
    <row r="9" spans="1:9" ht="15">
      <c r="A9" s="89"/>
      <c r="B9" s="90" t="s">
        <v>194</v>
      </c>
      <c r="C9" s="91">
        <f>C10+C19+C50+C61</f>
        <v>36628406</v>
      </c>
      <c r="D9" s="91">
        <f>D10+D19+D50+D60</f>
        <v>74839</v>
      </c>
      <c r="E9" s="91">
        <f>E10+E19+E50+E60</f>
        <v>36703245</v>
      </c>
      <c r="I9" s="6"/>
    </row>
    <row r="10" spans="1:5" ht="15">
      <c r="A10" s="79"/>
      <c r="B10" s="80" t="s">
        <v>190</v>
      </c>
      <c r="C10" s="81">
        <f>C11+C14+C18</f>
        <v>24572020</v>
      </c>
      <c r="D10" s="81">
        <f>D11+D14+D18</f>
        <v>39514</v>
      </c>
      <c r="E10" s="81">
        <f>E11+E14+E18</f>
        <v>24611534</v>
      </c>
    </row>
    <row r="11" spans="1:5" ht="15">
      <c r="A11" s="170" t="s">
        <v>48</v>
      </c>
      <c r="B11" s="171" t="s">
        <v>30</v>
      </c>
      <c r="C11" s="172">
        <f>SUM(C12:C13)</f>
        <v>22056160</v>
      </c>
      <c r="D11" s="172">
        <f>SUM(D12:D13)</f>
        <v>39514</v>
      </c>
      <c r="E11" s="172">
        <f>SUM(E12:E13)</f>
        <v>22095674</v>
      </c>
    </row>
    <row r="12" spans="1:5" ht="45">
      <c r="A12" s="82" t="s">
        <v>245</v>
      </c>
      <c r="B12" s="158" t="s">
        <v>181</v>
      </c>
      <c r="C12" s="75">
        <v>224167</v>
      </c>
      <c r="D12" s="75"/>
      <c r="E12" s="75">
        <f>C12+D12</f>
        <v>224167</v>
      </c>
    </row>
    <row r="13" spans="1:5" ht="45">
      <c r="A13" s="82" t="s">
        <v>246</v>
      </c>
      <c r="B13" s="158" t="s">
        <v>182</v>
      </c>
      <c r="C13" s="75">
        <f>20875106+235200+506687+215000</f>
        <v>21831993</v>
      </c>
      <c r="D13" s="75">
        <v>39514</v>
      </c>
      <c r="E13" s="75">
        <f>C13+D13</f>
        <v>21871507</v>
      </c>
    </row>
    <row r="14" spans="1:5" ht="15">
      <c r="A14" s="173" t="s">
        <v>260</v>
      </c>
      <c r="B14" s="171" t="s">
        <v>31</v>
      </c>
      <c r="C14" s="172">
        <f>SUM(C15:C17)</f>
        <v>2335860</v>
      </c>
      <c r="D14" s="172">
        <f>SUM(D15:D17)</f>
        <v>0</v>
      </c>
      <c r="E14" s="172">
        <f>SUM(E15:E17)</f>
        <v>2335860</v>
      </c>
    </row>
    <row r="15" spans="1:5" ht="15">
      <c r="A15" s="82" t="s">
        <v>261</v>
      </c>
      <c r="B15" s="158" t="s">
        <v>32</v>
      </c>
      <c r="C15" s="75">
        <v>901416</v>
      </c>
      <c r="D15" s="75"/>
      <c r="E15" s="75">
        <f>C15+D15</f>
        <v>901416</v>
      </c>
    </row>
    <row r="16" spans="1:5" ht="15">
      <c r="A16" s="82" t="s">
        <v>262</v>
      </c>
      <c r="B16" s="158" t="s">
        <v>146</v>
      </c>
      <c r="C16" s="75">
        <v>942334</v>
      </c>
      <c r="D16" s="75"/>
      <c r="E16" s="75">
        <f>C16+D16</f>
        <v>942334</v>
      </c>
    </row>
    <row r="17" spans="1:5" ht="30">
      <c r="A17" s="82" t="s">
        <v>263</v>
      </c>
      <c r="B17" s="158" t="s">
        <v>244</v>
      </c>
      <c r="C17" s="75">
        <v>492110</v>
      </c>
      <c r="D17" s="75"/>
      <c r="E17" s="75">
        <f>C17+D17</f>
        <v>492110</v>
      </c>
    </row>
    <row r="18" spans="1:5" ht="15">
      <c r="A18" s="170" t="s">
        <v>264</v>
      </c>
      <c r="B18" s="171" t="s">
        <v>7</v>
      </c>
      <c r="C18" s="172">
        <v>180000</v>
      </c>
      <c r="D18" s="174"/>
      <c r="E18" s="172">
        <f>C18+D18</f>
        <v>180000</v>
      </c>
    </row>
    <row r="19" spans="1:5" ht="15">
      <c r="A19" s="79"/>
      <c r="B19" s="80" t="s">
        <v>191</v>
      </c>
      <c r="C19" s="81">
        <f>C20+C22+C36+C39+C47</f>
        <v>218090</v>
      </c>
      <c r="D19" s="81">
        <f>D20+D22+D36+D39+D47</f>
        <v>0</v>
      </c>
      <c r="E19" s="81">
        <f>E20+E22+E36+E39+E47</f>
        <v>218090</v>
      </c>
    </row>
    <row r="20" spans="1:5" ht="29.25">
      <c r="A20" s="173" t="s">
        <v>43</v>
      </c>
      <c r="B20" s="171" t="s">
        <v>33</v>
      </c>
      <c r="C20" s="172">
        <f>C21</f>
        <v>6000</v>
      </c>
      <c r="D20" s="172">
        <f>D21</f>
        <v>0</v>
      </c>
      <c r="E20" s="172">
        <f>E21</f>
        <v>6000</v>
      </c>
    </row>
    <row r="21" spans="1:5" ht="30">
      <c r="A21" s="82" t="s">
        <v>265</v>
      </c>
      <c r="B21" s="158" t="s">
        <v>147</v>
      </c>
      <c r="C21" s="75">
        <v>6000</v>
      </c>
      <c r="D21" s="77"/>
      <c r="E21" s="77">
        <f>C21+D21</f>
        <v>6000</v>
      </c>
    </row>
    <row r="22" spans="1:5" ht="29.25">
      <c r="A22" s="173" t="s">
        <v>44</v>
      </c>
      <c r="B22" s="171" t="s">
        <v>34</v>
      </c>
      <c r="C22" s="172">
        <f>C23+C28</f>
        <v>47450</v>
      </c>
      <c r="D22" s="172">
        <f>D23+D28</f>
        <v>0</v>
      </c>
      <c r="E22" s="172">
        <f>E23+E28</f>
        <v>47450</v>
      </c>
    </row>
    <row r="23" spans="1:5" ht="29.25">
      <c r="A23" s="84" t="s">
        <v>266</v>
      </c>
      <c r="B23" s="86" t="s">
        <v>8</v>
      </c>
      <c r="C23" s="76">
        <f>SUM(C24:C27)</f>
        <v>14500</v>
      </c>
      <c r="D23" s="76">
        <f>SUM(D24:D27)</f>
        <v>0</v>
      </c>
      <c r="E23" s="76">
        <f>SUM(E24:E27)</f>
        <v>14500</v>
      </c>
    </row>
    <row r="24" spans="1:5" ht="45" customHeight="1">
      <c r="A24" s="82" t="s">
        <v>267</v>
      </c>
      <c r="B24" s="158" t="s">
        <v>241</v>
      </c>
      <c r="C24" s="75">
        <v>1500</v>
      </c>
      <c r="D24" s="77"/>
      <c r="E24" s="77">
        <f>C24+D24</f>
        <v>1500</v>
      </c>
    </row>
    <row r="25" spans="1:5" ht="45">
      <c r="A25" s="82" t="s">
        <v>268</v>
      </c>
      <c r="B25" s="158" t="s">
        <v>148</v>
      </c>
      <c r="C25" s="75">
        <v>4000</v>
      </c>
      <c r="D25" s="77"/>
      <c r="E25" s="77">
        <f>C25+D25</f>
        <v>4000</v>
      </c>
    </row>
    <row r="26" spans="1:5" ht="30">
      <c r="A26" s="82" t="s">
        <v>269</v>
      </c>
      <c r="B26" s="158" t="s">
        <v>149</v>
      </c>
      <c r="C26" s="75">
        <v>3000</v>
      </c>
      <c r="D26" s="77"/>
      <c r="E26" s="77">
        <f>C26+D26</f>
        <v>3000</v>
      </c>
    </row>
    <row r="27" spans="1:5" ht="30">
      <c r="A27" s="82" t="s">
        <v>270</v>
      </c>
      <c r="B27" s="158" t="s">
        <v>183</v>
      </c>
      <c r="C27" s="75">
        <v>6000</v>
      </c>
      <c r="D27" s="77"/>
      <c r="E27" s="77">
        <f>C27+D27</f>
        <v>6000</v>
      </c>
    </row>
    <row r="28" spans="1:5" ht="15">
      <c r="A28" s="84" t="s">
        <v>271</v>
      </c>
      <c r="B28" s="86" t="s">
        <v>9</v>
      </c>
      <c r="C28" s="76">
        <f>SUM(C29:C35)</f>
        <v>32950</v>
      </c>
      <c r="D28" s="76">
        <f>SUM(D29:D34)</f>
        <v>0</v>
      </c>
      <c r="E28" s="76">
        <f>SUM(E29:E35)</f>
        <v>32950</v>
      </c>
    </row>
    <row r="29" spans="1:5" ht="45">
      <c r="A29" s="82" t="s">
        <v>98</v>
      </c>
      <c r="B29" s="158" t="s">
        <v>150</v>
      </c>
      <c r="C29" s="75">
        <v>15000</v>
      </c>
      <c r="D29" s="77">
        <v>75</v>
      </c>
      <c r="E29" s="77">
        <f aca="true" t="shared" si="0" ref="E29:E35">C29+D29</f>
        <v>15075</v>
      </c>
    </row>
    <row r="30" spans="1:5" ht="45">
      <c r="A30" s="82" t="s">
        <v>99</v>
      </c>
      <c r="B30" s="158" t="s">
        <v>151</v>
      </c>
      <c r="C30" s="75">
        <v>500</v>
      </c>
      <c r="D30" s="77"/>
      <c r="E30" s="77">
        <f t="shared" si="0"/>
        <v>500</v>
      </c>
    </row>
    <row r="31" spans="1:5" ht="30">
      <c r="A31" s="82" t="s">
        <v>121</v>
      </c>
      <c r="B31" s="158" t="s">
        <v>152</v>
      </c>
      <c r="C31" s="75">
        <v>5300</v>
      </c>
      <c r="D31" s="77">
        <v>-75</v>
      </c>
      <c r="E31" s="77">
        <f t="shared" si="0"/>
        <v>5225</v>
      </c>
    </row>
    <row r="32" spans="1:5" ht="30">
      <c r="A32" s="82" t="s">
        <v>272</v>
      </c>
      <c r="B32" s="158" t="s">
        <v>153</v>
      </c>
      <c r="C32" s="75">
        <v>150</v>
      </c>
      <c r="D32" s="75"/>
      <c r="E32" s="75">
        <f t="shared" si="0"/>
        <v>150</v>
      </c>
    </row>
    <row r="33" spans="1:5" ht="45">
      <c r="A33" s="82" t="s">
        <v>273</v>
      </c>
      <c r="B33" s="158" t="s">
        <v>2</v>
      </c>
      <c r="C33" s="75">
        <v>3000</v>
      </c>
      <c r="D33" s="75"/>
      <c r="E33" s="75">
        <f t="shared" si="0"/>
        <v>3000</v>
      </c>
    </row>
    <row r="34" spans="1:5" ht="30">
      <c r="A34" s="82" t="s">
        <v>274</v>
      </c>
      <c r="B34" s="158" t="s">
        <v>154</v>
      </c>
      <c r="C34" s="75">
        <v>8000</v>
      </c>
      <c r="D34" s="75"/>
      <c r="E34" s="75">
        <f t="shared" si="0"/>
        <v>8000</v>
      </c>
    </row>
    <row r="35" spans="1:5" ht="15">
      <c r="A35" s="82" t="s">
        <v>363</v>
      </c>
      <c r="B35" s="158" t="s">
        <v>364</v>
      </c>
      <c r="C35" s="75">
        <v>1000</v>
      </c>
      <c r="D35" s="75"/>
      <c r="E35" s="75">
        <f t="shared" si="0"/>
        <v>1000</v>
      </c>
    </row>
    <row r="36" spans="1:5" ht="15">
      <c r="A36" s="173" t="s">
        <v>45</v>
      </c>
      <c r="B36" s="171" t="s">
        <v>10</v>
      </c>
      <c r="C36" s="172">
        <f>SUM(C37:C38)</f>
        <v>125000</v>
      </c>
      <c r="D36" s="172">
        <f>SUM(D37:D38)</f>
        <v>0</v>
      </c>
      <c r="E36" s="172">
        <f>SUM(E37:E38)</f>
        <v>125000</v>
      </c>
    </row>
    <row r="37" spans="1:5" ht="15">
      <c r="A37" s="82" t="s">
        <v>275</v>
      </c>
      <c r="B37" s="158" t="s">
        <v>155</v>
      </c>
      <c r="C37" s="75">
        <v>75000</v>
      </c>
      <c r="D37" s="75"/>
      <c r="E37" s="75">
        <f>C37+D37</f>
        <v>75000</v>
      </c>
    </row>
    <row r="38" spans="1:5" ht="30">
      <c r="A38" s="82" t="s">
        <v>276</v>
      </c>
      <c r="B38" s="158" t="s">
        <v>156</v>
      </c>
      <c r="C38" s="75">
        <v>50000</v>
      </c>
      <c r="D38" s="75"/>
      <c r="E38" s="75">
        <f>C38+D38</f>
        <v>50000</v>
      </c>
    </row>
    <row r="39" spans="1:7" ht="15">
      <c r="A39" s="173" t="s">
        <v>277</v>
      </c>
      <c r="B39" s="171" t="s">
        <v>11</v>
      </c>
      <c r="C39" s="172">
        <f>C40+C44</f>
        <v>16640</v>
      </c>
      <c r="D39" s="172">
        <f>D40+D44</f>
        <v>0</v>
      </c>
      <c r="E39" s="172">
        <f>E40+E44</f>
        <v>16640</v>
      </c>
      <c r="G39" s="69"/>
    </row>
    <row r="40" spans="1:5" ht="15">
      <c r="A40" s="84" t="s">
        <v>278</v>
      </c>
      <c r="B40" s="86" t="s">
        <v>160</v>
      </c>
      <c r="C40" s="76">
        <f>SUM(C41:C43)</f>
        <v>15100</v>
      </c>
      <c r="D40" s="76">
        <f>SUM(D41:D43)</f>
        <v>0</v>
      </c>
      <c r="E40" s="76">
        <f>SUM(E41:E43)</f>
        <v>15100</v>
      </c>
    </row>
    <row r="41" spans="1:5" ht="30">
      <c r="A41" s="82" t="s">
        <v>279</v>
      </c>
      <c r="B41" s="158" t="s">
        <v>161</v>
      </c>
      <c r="C41" s="75">
        <v>10000</v>
      </c>
      <c r="D41" s="75"/>
      <c r="E41" s="75">
        <f>C41+D41</f>
        <v>10000</v>
      </c>
    </row>
    <row r="42" spans="1:5" ht="30">
      <c r="A42" s="82" t="s">
        <v>280</v>
      </c>
      <c r="B42" s="158" t="s">
        <v>3</v>
      </c>
      <c r="C42" s="75">
        <v>100</v>
      </c>
      <c r="D42" s="75"/>
      <c r="E42" s="75">
        <f>C42+D42</f>
        <v>100</v>
      </c>
    </row>
    <row r="43" spans="1:5" ht="30">
      <c r="A43" s="82" t="s">
        <v>281</v>
      </c>
      <c r="B43" s="158" t="s">
        <v>196</v>
      </c>
      <c r="C43" s="75">
        <v>5000</v>
      </c>
      <c r="D43" s="75"/>
      <c r="E43" s="75">
        <f>C43+D43</f>
        <v>5000</v>
      </c>
    </row>
    <row r="44" spans="1:5" ht="15">
      <c r="A44" s="84" t="s">
        <v>282</v>
      </c>
      <c r="B44" s="86" t="s">
        <v>243</v>
      </c>
      <c r="C44" s="76">
        <f>SUM(C45:C46)</f>
        <v>1540</v>
      </c>
      <c r="D44" s="76">
        <f>SUM(D45:D46)</f>
        <v>0</v>
      </c>
      <c r="E44" s="76">
        <f>SUM(E45:E46)</f>
        <v>1540</v>
      </c>
    </row>
    <row r="45" spans="1:5" ht="30">
      <c r="A45" s="82" t="s">
        <v>426</v>
      </c>
      <c r="B45" s="158" t="s">
        <v>427</v>
      </c>
      <c r="C45" s="76">
        <v>540</v>
      </c>
      <c r="D45" s="75"/>
      <c r="E45" s="75">
        <f>C45+D45</f>
        <v>540</v>
      </c>
    </row>
    <row r="46" spans="1:5" ht="45">
      <c r="A46" s="82" t="s">
        <v>283</v>
      </c>
      <c r="B46" s="158" t="s">
        <v>242</v>
      </c>
      <c r="C46" s="75">
        <v>1000</v>
      </c>
      <c r="D46" s="75">
        <v>0</v>
      </c>
      <c r="E46" s="75">
        <f>C46+D46</f>
        <v>1000</v>
      </c>
    </row>
    <row r="47" spans="1:5" ht="43.5">
      <c r="A47" s="173" t="s">
        <v>284</v>
      </c>
      <c r="B47" s="171" t="s">
        <v>365</v>
      </c>
      <c r="C47" s="172">
        <f>SUM(C48:C49)</f>
        <v>23000</v>
      </c>
      <c r="D47" s="172">
        <f>SUM(D48:D49)</f>
        <v>0</v>
      </c>
      <c r="E47" s="172">
        <f>SUM(E48:E49)</f>
        <v>23000</v>
      </c>
    </row>
    <row r="48" spans="1:5" ht="30">
      <c r="A48" s="82" t="s">
        <v>285</v>
      </c>
      <c r="B48" s="158" t="s">
        <v>12</v>
      </c>
      <c r="C48" s="75">
        <v>3000</v>
      </c>
      <c r="D48" s="75"/>
      <c r="E48" s="75">
        <f>C48+D48</f>
        <v>3000</v>
      </c>
    </row>
    <row r="49" spans="1:5" ht="30">
      <c r="A49" s="82" t="s">
        <v>286</v>
      </c>
      <c r="B49" s="158" t="s">
        <v>13</v>
      </c>
      <c r="C49" s="75">
        <v>20000</v>
      </c>
      <c r="D49" s="75"/>
      <c r="E49" s="75">
        <f>C49+D49</f>
        <v>20000</v>
      </c>
    </row>
    <row r="50" spans="1:5" ht="15">
      <c r="A50" s="79"/>
      <c r="B50" s="80" t="s">
        <v>192</v>
      </c>
      <c r="C50" s="81">
        <f>C51+C53+C58</f>
        <v>10893108</v>
      </c>
      <c r="D50" s="81">
        <f>D51+D53+D58</f>
        <v>29446</v>
      </c>
      <c r="E50" s="81">
        <f>E51+E53+E58</f>
        <v>10922554</v>
      </c>
    </row>
    <row r="51" spans="1:5" ht="43.5">
      <c r="A51" s="170" t="s">
        <v>358</v>
      </c>
      <c r="B51" s="175" t="s">
        <v>359</v>
      </c>
      <c r="C51" s="172">
        <f>C52</f>
        <v>580</v>
      </c>
      <c r="D51" s="261">
        <f>D52</f>
        <v>31610</v>
      </c>
      <c r="E51" s="172">
        <f>C51+D51</f>
        <v>32190</v>
      </c>
    </row>
    <row r="52" spans="1:5" ht="60">
      <c r="A52" s="168" t="s">
        <v>360</v>
      </c>
      <c r="B52" s="169" t="s">
        <v>361</v>
      </c>
      <c r="C52" s="83">
        <v>580</v>
      </c>
      <c r="D52" s="262">
        <v>31610</v>
      </c>
      <c r="E52" s="83">
        <f>C52+D52</f>
        <v>32190</v>
      </c>
    </row>
    <row r="53" spans="1:5" ht="15">
      <c r="A53" s="173" t="s">
        <v>287</v>
      </c>
      <c r="B53" s="171" t="s">
        <v>35</v>
      </c>
      <c r="C53" s="172">
        <f>C54</f>
        <v>10175778</v>
      </c>
      <c r="D53" s="172">
        <f>D54</f>
        <v>-2164</v>
      </c>
      <c r="E53" s="172">
        <f>E54</f>
        <v>10173614</v>
      </c>
    </row>
    <row r="54" spans="1:5" ht="29.25">
      <c r="A54" s="84" t="s">
        <v>288</v>
      </c>
      <c r="B54" s="86" t="s">
        <v>304</v>
      </c>
      <c r="C54" s="76">
        <f>SUM(C55:C57)</f>
        <v>10175778</v>
      </c>
      <c r="D54" s="76">
        <f>SUM(D55:D57)</f>
        <v>-2164</v>
      </c>
      <c r="E54" s="76">
        <f>SUM(E55:E57)</f>
        <v>10173614</v>
      </c>
    </row>
    <row r="55" spans="1:5" ht="30">
      <c r="A55" s="92" t="s">
        <v>289</v>
      </c>
      <c r="B55" s="158" t="s">
        <v>305</v>
      </c>
      <c r="C55" s="75">
        <v>7100285</v>
      </c>
      <c r="D55" s="75">
        <v>0</v>
      </c>
      <c r="E55" s="75">
        <f>C55+D55</f>
        <v>7100285</v>
      </c>
    </row>
    <row r="56" spans="1:7" ht="75">
      <c r="A56" s="92" t="s">
        <v>290</v>
      </c>
      <c r="B56" s="158" t="s">
        <v>4</v>
      </c>
      <c r="C56" s="75">
        <v>3068193</v>
      </c>
      <c r="D56" s="75">
        <f>35325-37489</f>
        <v>-2164</v>
      </c>
      <c r="E56" s="75">
        <f>C56+D56</f>
        <v>3066029</v>
      </c>
      <c r="G56" s="70"/>
    </row>
    <row r="57" spans="1:5" ht="30">
      <c r="A57" s="92" t="s">
        <v>291</v>
      </c>
      <c r="B57" s="158" t="s">
        <v>306</v>
      </c>
      <c r="C57" s="75">
        <f>6600+700</f>
        <v>7300</v>
      </c>
      <c r="D57" s="75"/>
      <c r="E57" s="75">
        <f>C57+D57</f>
        <v>7300</v>
      </c>
    </row>
    <row r="58" spans="1:5" ht="15">
      <c r="A58" s="175" t="s">
        <v>292</v>
      </c>
      <c r="B58" s="171" t="s">
        <v>157</v>
      </c>
      <c r="C58" s="172">
        <f>SUM(C59)</f>
        <v>716750</v>
      </c>
      <c r="D58" s="172">
        <f>SUM(D59)</f>
        <v>0</v>
      </c>
      <c r="E58" s="172">
        <f>SUM(E59)</f>
        <v>716750</v>
      </c>
    </row>
    <row r="59" spans="1:5" ht="29.25">
      <c r="A59" s="85" t="s">
        <v>293</v>
      </c>
      <c r="B59" s="86" t="s">
        <v>307</v>
      </c>
      <c r="C59" s="76">
        <f>596662+40000+80088</f>
        <v>716750</v>
      </c>
      <c r="D59" s="76"/>
      <c r="E59" s="76">
        <f>C59+D59</f>
        <v>716750</v>
      </c>
    </row>
    <row r="60" spans="1:5" s="10" customFormat="1" ht="28.5" customHeight="1">
      <c r="A60" s="78"/>
      <c r="B60" s="78" t="s">
        <v>197</v>
      </c>
      <c r="C60" s="93">
        <f>SUM(C61)</f>
        <v>945188</v>
      </c>
      <c r="D60" s="93">
        <f>SUM(D61)</f>
        <v>5879</v>
      </c>
      <c r="E60" s="93">
        <f>SUM(E61)</f>
        <v>951067</v>
      </c>
    </row>
    <row r="61" spans="1:5" ht="15">
      <c r="A61" s="173" t="s">
        <v>294</v>
      </c>
      <c r="B61" s="175" t="s">
        <v>308</v>
      </c>
      <c r="C61" s="172">
        <f>C62+C68</f>
        <v>945188</v>
      </c>
      <c r="D61" s="172">
        <f>D62+D68</f>
        <v>5879</v>
      </c>
      <c r="E61" s="172">
        <f>E62+E68</f>
        <v>951067</v>
      </c>
    </row>
    <row r="62" spans="1:5" ht="43.5">
      <c r="A62" s="84" t="s">
        <v>295</v>
      </c>
      <c r="B62" s="86" t="s">
        <v>27</v>
      </c>
      <c r="C62" s="76">
        <f>SUM(C63:C67)</f>
        <v>882663</v>
      </c>
      <c r="D62" s="76">
        <f>SUM(D63:D67)</f>
        <v>5879</v>
      </c>
      <c r="E62" s="76">
        <f>SUM(E63:E67)</f>
        <v>888542</v>
      </c>
    </row>
    <row r="63" spans="1:5" ht="60">
      <c r="A63" s="82" t="s">
        <v>296</v>
      </c>
      <c r="B63" s="158" t="s">
        <v>158</v>
      </c>
      <c r="C63" s="75">
        <v>50</v>
      </c>
      <c r="D63" s="75"/>
      <c r="E63" s="87">
        <f aca="true" t="shared" si="1" ref="E63:E68">C63+D63</f>
        <v>50</v>
      </c>
    </row>
    <row r="64" spans="1:5" ht="15">
      <c r="A64" s="82" t="s">
        <v>297</v>
      </c>
      <c r="B64" s="158" t="s">
        <v>14</v>
      </c>
      <c r="C64" s="75">
        <v>166240</v>
      </c>
      <c r="D64" s="75">
        <v>0</v>
      </c>
      <c r="E64" s="87">
        <f t="shared" si="1"/>
        <v>166240</v>
      </c>
    </row>
    <row r="65" spans="1:5" ht="30">
      <c r="A65" s="82" t="s">
        <v>298</v>
      </c>
      <c r="B65" s="158" t="s">
        <v>15</v>
      </c>
      <c r="C65" s="75">
        <f>930+100</f>
        <v>1030</v>
      </c>
      <c r="D65" s="75">
        <v>-445</v>
      </c>
      <c r="E65" s="87">
        <f t="shared" si="1"/>
        <v>585</v>
      </c>
    </row>
    <row r="66" spans="1:5" ht="15">
      <c r="A66" s="82" t="s">
        <v>299</v>
      </c>
      <c r="B66" s="158" t="s">
        <v>16</v>
      </c>
      <c r="C66" s="75">
        <v>248621</v>
      </c>
      <c r="D66" s="77">
        <v>5250</v>
      </c>
      <c r="E66" s="87">
        <f t="shared" si="1"/>
        <v>253871</v>
      </c>
    </row>
    <row r="67" spans="1:5" ht="30">
      <c r="A67" s="82" t="s">
        <v>300</v>
      </c>
      <c r="B67" s="158" t="s">
        <v>159</v>
      </c>
      <c r="C67" s="75">
        <v>466722</v>
      </c>
      <c r="D67" s="77">
        <f>5879-4805</f>
        <v>1074</v>
      </c>
      <c r="E67" s="75">
        <f t="shared" si="1"/>
        <v>467796</v>
      </c>
    </row>
    <row r="68" spans="1:5" ht="29.25">
      <c r="A68" s="84" t="s">
        <v>301</v>
      </c>
      <c r="B68" s="86" t="s">
        <v>309</v>
      </c>
      <c r="C68" s="76">
        <v>62525</v>
      </c>
      <c r="D68" s="83">
        <v>0</v>
      </c>
      <c r="E68" s="76">
        <f t="shared" si="1"/>
        <v>62525</v>
      </c>
    </row>
    <row r="69" spans="1:5" ht="15">
      <c r="A69" s="94"/>
      <c r="B69" s="78" t="s">
        <v>193</v>
      </c>
      <c r="C69" s="93">
        <f>C70+C71</f>
        <v>13185771</v>
      </c>
      <c r="D69" s="93">
        <f>D70+D71</f>
        <v>0</v>
      </c>
      <c r="E69" s="93">
        <f>E70+E71</f>
        <v>13185771</v>
      </c>
    </row>
    <row r="70" spans="1:5" ht="15">
      <c r="A70" s="88" t="s">
        <v>198</v>
      </c>
      <c r="B70" s="15" t="s">
        <v>199</v>
      </c>
      <c r="C70" s="75">
        <v>3257998</v>
      </c>
      <c r="D70" s="75"/>
      <c r="E70" s="75">
        <f>C70+D70</f>
        <v>3257998</v>
      </c>
    </row>
    <row r="71" spans="1:5" ht="15">
      <c r="A71" s="88" t="s">
        <v>25</v>
      </c>
      <c r="B71" s="15" t="s">
        <v>26</v>
      </c>
      <c r="C71" s="75">
        <f>9084478+843295</f>
        <v>9927773</v>
      </c>
      <c r="D71" s="75"/>
      <c r="E71" s="75">
        <f>C71+D71</f>
        <v>9927773</v>
      </c>
    </row>
    <row r="72" spans="1:5" ht="15">
      <c r="A72" s="155"/>
      <c r="B72" s="156" t="s">
        <v>195</v>
      </c>
      <c r="C72" s="157">
        <f>C9+C69</f>
        <v>49814177</v>
      </c>
      <c r="D72" s="157">
        <f>D9+D69</f>
        <v>74839</v>
      </c>
      <c r="E72" s="157">
        <f>E9+E69</f>
        <v>49889016</v>
      </c>
    </row>
    <row r="73" spans="1:4" ht="15">
      <c r="A73" s="71"/>
      <c r="B73" s="72"/>
      <c r="C73" s="73"/>
      <c r="D73" s="74"/>
    </row>
    <row r="74" spans="1:5" ht="18.75">
      <c r="A74" s="4" t="s">
        <v>431</v>
      </c>
      <c r="B74" s="4"/>
      <c r="C74" s="177"/>
      <c r="D74" s="178"/>
      <c r="E74" s="179" t="s">
        <v>432</v>
      </c>
    </row>
    <row r="75" ht="15">
      <c r="D75" s="74"/>
    </row>
    <row r="76" ht="15">
      <c r="D76" s="74"/>
    </row>
    <row r="77" ht="15">
      <c r="D77" s="74"/>
    </row>
    <row r="78" ht="15">
      <c r="D78" s="74"/>
    </row>
    <row r="79" ht="15">
      <c r="D79" s="74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  <ignoredErrors>
    <ignoredError sqref="C14" formulaRange="1"/>
    <ignoredError sqref="E14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9">
      <selection activeCell="A1" sqref="A1:H29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421875" style="0" customWidth="1"/>
    <col min="4" max="4" width="13.8515625" style="0" customWidth="1"/>
    <col min="5" max="5" width="12.00390625" style="0" customWidth="1"/>
    <col min="6" max="6" width="13.421875" style="0" customWidth="1"/>
    <col min="7" max="7" width="12.00390625" style="0" customWidth="1"/>
    <col min="8" max="8" width="14.28125" style="0" customWidth="1"/>
  </cols>
  <sheetData>
    <row r="1" spans="1:8" ht="12.75" customHeight="1">
      <c r="A1" s="3"/>
      <c r="B1" s="3"/>
      <c r="C1" s="3"/>
      <c r="D1" s="3"/>
      <c r="E1" s="3"/>
      <c r="F1" s="408" t="s">
        <v>236</v>
      </c>
      <c r="G1" s="408"/>
      <c r="H1" s="408"/>
    </row>
    <row r="2" spans="1:8" ht="12.75">
      <c r="A2" s="3"/>
      <c r="B2" s="3"/>
      <c r="C2" s="3"/>
      <c r="D2" s="3"/>
      <c r="E2" s="3"/>
      <c r="F2" s="408" t="s">
        <v>731</v>
      </c>
      <c r="G2" s="408"/>
      <c r="H2" s="408"/>
    </row>
    <row r="3" spans="1:8" ht="12.75">
      <c r="A3" s="3"/>
      <c r="B3" s="3"/>
      <c r="C3" s="3"/>
      <c r="D3" s="3"/>
      <c r="E3" s="3"/>
      <c r="F3" s="408" t="s">
        <v>733</v>
      </c>
      <c r="G3" s="408"/>
      <c r="H3" s="408"/>
    </row>
    <row r="4" spans="1:8" ht="20.25">
      <c r="A4" s="409" t="s">
        <v>420</v>
      </c>
      <c r="B4" s="409"/>
      <c r="C4" s="409"/>
      <c r="D4" s="409"/>
      <c r="E4" s="409"/>
      <c r="F4" s="409"/>
      <c r="G4" s="409"/>
      <c r="H4" s="409"/>
    </row>
    <row r="5" spans="1:8" ht="21" thickBot="1">
      <c r="A5" s="410" t="s">
        <v>230</v>
      </c>
      <c r="B5" s="410"/>
      <c r="C5" s="410"/>
      <c r="D5" s="410"/>
      <c r="E5" s="410"/>
      <c r="F5" s="410"/>
      <c r="G5" s="410"/>
      <c r="H5" s="410"/>
    </row>
    <row r="6" spans="1:8" ht="15.75" customHeight="1">
      <c r="A6" s="413" t="s">
        <v>5</v>
      </c>
      <c r="B6" s="411" t="s">
        <v>37</v>
      </c>
      <c r="C6" s="411" t="s">
        <v>421</v>
      </c>
      <c r="D6" s="415" t="s">
        <v>238</v>
      </c>
      <c r="E6" s="416"/>
      <c r="F6" s="416"/>
      <c r="G6" s="417"/>
      <c r="H6" s="418" t="s">
        <v>705</v>
      </c>
    </row>
    <row r="7" spans="1:8" ht="72" customHeight="1" thickBot="1">
      <c r="A7" s="414"/>
      <c r="B7" s="412"/>
      <c r="C7" s="412"/>
      <c r="D7" s="131" t="s">
        <v>231</v>
      </c>
      <c r="E7" s="131" t="s">
        <v>422</v>
      </c>
      <c r="F7" s="131" t="s">
        <v>35</v>
      </c>
      <c r="G7" s="131" t="s">
        <v>232</v>
      </c>
      <c r="H7" s="419"/>
    </row>
    <row r="8" spans="1:8" s="8" customFormat="1" ht="33.75" customHeight="1" thickBot="1">
      <c r="A8" s="95"/>
      <c r="B8" s="96" t="s">
        <v>36</v>
      </c>
      <c r="C8" s="97">
        <f aca="true" t="shared" si="0" ref="C8:H8">C9+C10+C11+C12+C13+C15+C16+C17+C14</f>
        <v>47708037</v>
      </c>
      <c r="D8" s="97">
        <f t="shared" si="0"/>
        <v>39514</v>
      </c>
      <c r="E8" s="97">
        <f>E9+E10+E11+E12+E13+E15+E16+E17+E14</f>
        <v>35325</v>
      </c>
      <c r="F8" s="97">
        <f t="shared" si="0"/>
        <v>0</v>
      </c>
      <c r="G8" s="97">
        <f t="shared" si="0"/>
        <v>0</v>
      </c>
      <c r="H8" s="98">
        <f t="shared" si="0"/>
        <v>47782876</v>
      </c>
    </row>
    <row r="9" spans="1:8" ht="15.75" thickTop="1">
      <c r="A9" s="12" t="s">
        <v>38</v>
      </c>
      <c r="B9" s="13" t="s">
        <v>17</v>
      </c>
      <c r="C9" s="45">
        <v>4553615</v>
      </c>
      <c r="D9" s="53">
        <f>'3.pielikums'!E13</f>
        <v>54114</v>
      </c>
      <c r="E9" s="53">
        <f>'3.pielikums'!G13</f>
        <v>0</v>
      </c>
      <c r="F9" s="53">
        <f>'3.pielikums'!I13</f>
        <v>0</v>
      </c>
      <c r="G9" s="45">
        <f>'3.pielikums'!K13</f>
        <v>0</v>
      </c>
      <c r="H9" s="50">
        <f>SUM(C9:G9)</f>
        <v>4607729</v>
      </c>
    </row>
    <row r="10" spans="1:8" ht="15">
      <c r="A10" s="14" t="s">
        <v>39</v>
      </c>
      <c r="B10" s="15" t="s">
        <v>19</v>
      </c>
      <c r="C10" s="45">
        <v>1736760</v>
      </c>
      <c r="D10" s="47">
        <f>'3.pielikums'!E29</f>
        <v>0</v>
      </c>
      <c r="E10" s="47">
        <f>'3.pielikums'!G29</f>
        <v>0</v>
      </c>
      <c r="F10" s="47">
        <f>'3.pielikums'!I29</f>
        <v>0</v>
      </c>
      <c r="G10" s="46">
        <f>'3.pielikums'!K29</f>
        <v>0</v>
      </c>
      <c r="H10" s="50">
        <f aca="true" t="shared" si="1" ref="H10:H27">SUM(C10:G10)</f>
        <v>1736760</v>
      </c>
    </row>
    <row r="11" spans="1:8" ht="15">
      <c r="A11" s="14" t="s">
        <v>40</v>
      </c>
      <c r="B11" s="15" t="s">
        <v>20</v>
      </c>
      <c r="C11" s="45">
        <v>11456527</v>
      </c>
      <c r="D11" s="47">
        <f>'3.pielikums'!E34</f>
        <v>79233</v>
      </c>
      <c r="E11" s="47">
        <f>'3.pielikums'!G34</f>
        <v>35325</v>
      </c>
      <c r="F11" s="47">
        <f>'3.pielikums'!I34</f>
        <v>0</v>
      </c>
      <c r="G11" s="46">
        <f>'3.pielikums'!K34</f>
        <v>0</v>
      </c>
      <c r="H11" s="50">
        <f t="shared" si="1"/>
        <v>11571085</v>
      </c>
    </row>
    <row r="12" spans="1:8" ht="15">
      <c r="A12" s="14" t="s">
        <v>41</v>
      </c>
      <c r="B12" s="15" t="s">
        <v>21</v>
      </c>
      <c r="C12" s="45">
        <v>2106531</v>
      </c>
      <c r="D12" s="53">
        <f>'3.pielikums'!E56</f>
        <v>37560</v>
      </c>
      <c r="E12" s="53">
        <f>'3.pielikums'!G56</f>
        <v>0</v>
      </c>
      <c r="F12" s="53">
        <f>'3.pielikums'!I56</f>
        <v>0</v>
      </c>
      <c r="G12" s="45">
        <f>'3.pielikums'!K56</f>
        <v>0</v>
      </c>
      <c r="H12" s="50">
        <f t="shared" si="1"/>
        <v>2144091</v>
      </c>
    </row>
    <row r="13" spans="1:8" ht="15">
      <c r="A13" s="14" t="s">
        <v>42</v>
      </c>
      <c r="B13" s="15" t="s">
        <v>200</v>
      </c>
      <c r="C13" s="45">
        <v>2640614</v>
      </c>
      <c r="D13" s="47">
        <f>'3.pielikums'!E65</f>
        <v>-108490</v>
      </c>
      <c r="E13" s="47">
        <f>'3.pielikums'!G65</f>
        <v>0</v>
      </c>
      <c r="F13" s="47">
        <f>'3.pielikums'!I65</f>
        <v>0</v>
      </c>
      <c r="G13" s="46">
        <f>'3.pielikums'!K65</f>
        <v>0</v>
      </c>
      <c r="H13" s="50">
        <f t="shared" si="1"/>
        <v>2532124</v>
      </c>
    </row>
    <row r="14" spans="1:8" ht="15">
      <c r="A14" s="14" t="s">
        <v>185</v>
      </c>
      <c r="B14" s="15" t="s">
        <v>186</v>
      </c>
      <c r="C14" s="45">
        <v>147661</v>
      </c>
      <c r="D14" s="47">
        <f>'3.pielikums'!E76</f>
        <v>0</v>
      </c>
      <c r="E14" s="47">
        <f>'3.pielikums'!G76</f>
        <v>0</v>
      </c>
      <c r="F14" s="47">
        <f>'3.pielikums'!I76</f>
        <v>0</v>
      </c>
      <c r="G14" s="46">
        <f>'3.pielikums'!K76</f>
        <v>0</v>
      </c>
      <c r="H14" s="50">
        <f t="shared" si="1"/>
        <v>147661</v>
      </c>
    </row>
    <row r="15" spans="1:8" ht="15">
      <c r="A15" s="14" t="s">
        <v>43</v>
      </c>
      <c r="B15" s="15" t="s">
        <v>22</v>
      </c>
      <c r="C15" s="45">
        <v>3590169</v>
      </c>
      <c r="D15" s="47">
        <f>'3.pielikums'!E82</f>
        <v>400</v>
      </c>
      <c r="E15" s="47">
        <f>'3.pielikums'!G82</f>
        <v>0</v>
      </c>
      <c r="F15" s="47">
        <f>'3.pielikums'!I82</f>
        <v>0</v>
      </c>
      <c r="G15" s="46">
        <f>'3.pielikums'!K82</f>
        <v>0</v>
      </c>
      <c r="H15" s="50">
        <f t="shared" si="1"/>
        <v>3590569</v>
      </c>
    </row>
    <row r="16" spans="1:8" ht="15">
      <c r="A16" s="14" t="s">
        <v>44</v>
      </c>
      <c r="B16" s="15" t="s">
        <v>23</v>
      </c>
      <c r="C16" s="45">
        <v>17775890</v>
      </c>
      <c r="D16" s="47">
        <f>'3.pielikums'!E108</f>
        <v>0</v>
      </c>
      <c r="E16" s="47">
        <f>'3.pielikums'!G108</f>
        <v>0</v>
      </c>
      <c r="F16" s="47">
        <f>'3.pielikums'!I108</f>
        <v>0</v>
      </c>
      <c r="G16" s="46">
        <f>'3.pielikums'!K108</f>
        <v>0</v>
      </c>
      <c r="H16" s="50">
        <f t="shared" si="1"/>
        <v>17775890</v>
      </c>
    </row>
    <row r="17" spans="1:8" ht="15.75" thickBot="1">
      <c r="A17" s="16" t="s">
        <v>45</v>
      </c>
      <c r="B17" s="17" t="s">
        <v>24</v>
      </c>
      <c r="C17" s="45">
        <v>3700270</v>
      </c>
      <c r="D17" s="51">
        <f>'3.pielikums'!E141</f>
        <v>-23303</v>
      </c>
      <c r="E17" s="51">
        <f>'3.pielikums'!G141</f>
        <v>0</v>
      </c>
      <c r="F17" s="51">
        <f>'3.pielikums'!I141</f>
        <v>0</v>
      </c>
      <c r="G17" s="51">
        <f>'3.pielikums'!K141</f>
        <v>0</v>
      </c>
      <c r="H17" s="52">
        <f t="shared" si="1"/>
        <v>3676967</v>
      </c>
    </row>
    <row r="18" spans="1:8" s="8" customFormat="1" ht="19.5" customHeight="1" thickBot="1">
      <c r="A18" s="99"/>
      <c r="B18" s="100" t="s">
        <v>61</v>
      </c>
      <c r="C18" s="101">
        <f>C19+C20</f>
        <v>2106140</v>
      </c>
      <c r="D18" s="101">
        <f>D19+D20</f>
        <v>0</v>
      </c>
      <c r="E18" s="101">
        <f>E19+E20</f>
        <v>0</v>
      </c>
      <c r="F18" s="101">
        <f>F19+F20</f>
        <v>0</v>
      </c>
      <c r="G18" s="101">
        <f>G19+G20</f>
        <v>0</v>
      </c>
      <c r="H18" s="102">
        <f>SUM(C18:G18)</f>
        <v>2106140</v>
      </c>
    </row>
    <row r="19" spans="1:8" ht="16.5" customHeight="1" thickTop="1">
      <c r="A19" s="18" t="s">
        <v>201</v>
      </c>
      <c r="B19" s="19" t="s">
        <v>202</v>
      </c>
      <c r="C19" s="148">
        <v>1656865</v>
      </c>
      <c r="D19" s="53">
        <f>'3.pielikums'!E172</f>
        <v>0</v>
      </c>
      <c r="E19" s="53">
        <f>'3.pielikums'!G172</f>
        <v>0</v>
      </c>
      <c r="F19" s="53">
        <f>'3.pielikums'!I172</f>
        <v>0</v>
      </c>
      <c r="G19" s="45">
        <f>'3.pielikums'!K172</f>
        <v>0</v>
      </c>
      <c r="H19" s="149">
        <f t="shared" si="1"/>
        <v>1656865</v>
      </c>
    </row>
    <row r="20" spans="1:8" ht="22.5" customHeight="1">
      <c r="A20" s="20" t="s">
        <v>110</v>
      </c>
      <c r="B20" s="15" t="s">
        <v>187</v>
      </c>
      <c r="C20" s="181">
        <f>SUM(C22:C25)</f>
        <v>449275</v>
      </c>
      <c r="D20" s="47">
        <f>SUM(D21:D25)</f>
        <v>0</v>
      </c>
      <c r="E20" s="47">
        <f>SUM(E21:E22)</f>
        <v>0</v>
      </c>
      <c r="F20" s="47">
        <f>SUM(F21:F22)</f>
        <v>0</v>
      </c>
      <c r="G20" s="47">
        <f>SUM(G21:G22)</f>
        <v>0</v>
      </c>
      <c r="H20" s="182">
        <f t="shared" si="1"/>
        <v>449275</v>
      </c>
    </row>
    <row r="21" spans="1:8" ht="30" hidden="1">
      <c r="A21" s="20"/>
      <c r="B21" s="40" t="s">
        <v>310</v>
      </c>
      <c r="C21" s="46"/>
      <c r="D21" s="47">
        <f>'3.pielikums'!E174</f>
        <v>0</v>
      </c>
      <c r="E21" s="47">
        <f>'3.pielikums'!G174</f>
        <v>0</v>
      </c>
      <c r="F21" s="47">
        <f>'3.pielikums'!I174</f>
        <v>0</v>
      </c>
      <c r="G21" s="47">
        <f>'3.pielikums'!K174</f>
        <v>0</v>
      </c>
      <c r="H21" s="182">
        <f t="shared" si="1"/>
        <v>0</v>
      </c>
    </row>
    <row r="22" spans="1:8" ht="30">
      <c r="A22" s="20"/>
      <c r="B22" s="40" t="s">
        <v>311</v>
      </c>
      <c r="C22" s="46">
        <v>15000</v>
      </c>
      <c r="D22" s="47">
        <f>'3.pielikums'!E175</f>
        <v>0</v>
      </c>
      <c r="E22" s="47">
        <f>'3.pielikums'!G175</f>
        <v>0</v>
      </c>
      <c r="F22" s="47">
        <f>'3.pielikums'!I175</f>
        <v>0</v>
      </c>
      <c r="G22" s="47">
        <f>'3.pielikums'!K175</f>
        <v>0</v>
      </c>
      <c r="H22" s="182">
        <f t="shared" si="1"/>
        <v>15000</v>
      </c>
    </row>
    <row r="23" spans="1:8" ht="30">
      <c r="A23" s="20"/>
      <c r="B23" s="40" t="s">
        <v>416</v>
      </c>
      <c r="C23" s="46">
        <v>20000</v>
      </c>
      <c r="D23" s="47">
        <f>'3.pielikums'!E177</f>
        <v>0</v>
      </c>
      <c r="E23" s="47">
        <f>'3.pielikums'!G177</f>
        <v>0</v>
      </c>
      <c r="F23" s="47">
        <f>'3.pielikums'!I177</f>
        <v>0</v>
      </c>
      <c r="G23" s="47">
        <f>'3.pielikums'!K177</f>
        <v>0</v>
      </c>
      <c r="H23" s="182">
        <f t="shared" si="1"/>
        <v>20000</v>
      </c>
    </row>
    <row r="24" spans="1:8" ht="30">
      <c r="A24" s="20"/>
      <c r="B24" s="40" t="s">
        <v>423</v>
      </c>
      <c r="C24" s="46">
        <v>150000</v>
      </c>
      <c r="D24" s="47">
        <f>'3.pielikums'!E178</f>
        <v>0</v>
      </c>
      <c r="E24" s="47">
        <f>'3.pielikums'!G178</f>
        <v>0</v>
      </c>
      <c r="F24" s="47">
        <f>'3.pielikums'!I178</f>
        <v>0</v>
      </c>
      <c r="G24" s="47">
        <f>'3.pielikums'!K178</f>
        <v>0</v>
      </c>
      <c r="H24" s="182">
        <f t="shared" si="1"/>
        <v>150000</v>
      </c>
    </row>
    <row r="25" spans="1:8" ht="30">
      <c r="A25" s="20"/>
      <c r="B25" s="40" t="s">
        <v>170</v>
      </c>
      <c r="C25" s="46">
        <v>264275</v>
      </c>
      <c r="D25" s="47">
        <f>'3.pielikums'!E179</f>
        <v>0</v>
      </c>
      <c r="E25" s="47">
        <f>'3.pielikums'!G179</f>
        <v>0</v>
      </c>
      <c r="F25" s="47">
        <f>'3.pielikums'!I179</f>
        <v>0</v>
      </c>
      <c r="G25" s="47">
        <f>'3.pielikums'!K179</f>
        <v>0</v>
      </c>
      <c r="H25" s="182">
        <f t="shared" si="1"/>
        <v>264275</v>
      </c>
    </row>
    <row r="26" spans="1:8" s="11" customFormat="1" ht="21.75" customHeight="1" thickBot="1">
      <c r="A26" s="103"/>
      <c r="B26" s="125" t="s">
        <v>89</v>
      </c>
      <c r="C26" s="126">
        <f aca="true" t="shared" si="2" ref="C26:H26">C8+C18</f>
        <v>49814177</v>
      </c>
      <c r="D26" s="126">
        <f t="shared" si="2"/>
        <v>39514</v>
      </c>
      <c r="E26" s="126">
        <f t="shared" si="2"/>
        <v>35325</v>
      </c>
      <c r="F26" s="126">
        <f t="shared" si="2"/>
        <v>0</v>
      </c>
      <c r="G26" s="126">
        <f t="shared" si="2"/>
        <v>0</v>
      </c>
      <c r="H26" s="127">
        <f t="shared" si="2"/>
        <v>49889016</v>
      </c>
    </row>
    <row r="27" spans="1:8" ht="19.5" customHeight="1" hidden="1" thickBot="1">
      <c r="A27" s="21"/>
      <c r="B27" s="22" t="s">
        <v>188</v>
      </c>
      <c r="C27" s="43">
        <v>0</v>
      </c>
      <c r="D27" s="43">
        <f>'3.pielikums'!E181</f>
        <v>0</v>
      </c>
      <c r="E27" s="61"/>
      <c r="F27" s="61"/>
      <c r="G27" s="54"/>
      <c r="H27" s="55">
        <f t="shared" si="1"/>
        <v>0</v>
      </c>
    </row>
    <row r="28" spans="1:8" s="8" customFormat="1" ht="15" customHeight="1">
      <c r="A28" s="4"/>
      <c r="B28" s="9"/>
      <c r="C28" s="56"/>
      <c r="D28" s="57"/>
      <c r="E28" s="57"/>
      <c r="F28" s="57"/>
      <c r="G28" s="57"/>
      <c r="H28" s="57"/>
    </row>
    <row r="29" spans="1:8" ht="18.75">
      <c r="A29" s="4" t="s">
        <v>431</v>
      </c>
      <c r="B29" s="4"/>
      <c r="C29" s="177"/>
      <c r="D29" s="178"/>
      <c r="H29" s="179" t="s">
        <v>432</v>
      </c>
    </row>
    <row r="31" s="5" customFormat="1" ht="20.25"/>
    <row r="33" ht="12.75">
      <c r="D33" s="62"/>
    </row>
  </sheetData>
  <sheetProtection/>
  <mergeCells count="10">
    <mergeCell ref="F1:H1"/>
    <mergeCell ref="F2:H2"/>
    <mergeCell ref="F3:H3"/>
    <mergeCell ref="A4:H4"/>
    <mergeCell ref="A5:H5"/>
    <mergeCell ref="C6:C7"/>
    <mergeCell ref="A6:A7"/>
    <mergeCell ref="B6:B7"/>
    <mergeCell ref="D6:G6"/>
    <mergeCell ref="H6:H7"/>
  </mergeCells>
  <printOptions/>
  <pageMargins left="0.61" right="0.75" top="0.25" bottom="0.26" header="0.26" footer="0.27"/>
  <pageSetup horizontalDpi="600" verticalDpi="600" orientation="landscape" paperSize="9" scale="95" r:id="rId1"/>
  <ignoredErrors>
    <ignoredError sqref="H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="90" zoomScaleNormal="90" zoomScalePageLayoutView="0" workbookViewId="0" topLeftCell="A1">
      <pane ySplit="11" topLeftCell="A170" activePane="bottomLeft" state="frozen"/>
      <selection pane="topLeft" activeCell="A1" sqref="A1"/>
      <selection pane="bottomLeft" activeCell="A1" sqref="A1:L183"/>
    </sheetView>
  </sheetViews>
  <sheetFormatPr defaultColWidth="9.140625" defaultRowHeight="12.75"/>
  <cols>
    <col min="1" max="1" width="10.57421875" style="0" customWidth="1"/>
    <col min="2" max="2" width="38.28125" style="0" customWidth="1"/>
    <col min="3" max="3" width="10.28125" style="64" customWidth="1"/>
    <col min="4" max="4" width="10.28125" style="129" customWidth="1"/>
    <col min="5" max="5" width="9.57421875" style="134" customWidth="1"/>
    <col min="6" max="6" width="9.140625" style="129" customWidth="1"/>
    <col min="7" max="7" width="9.57421875" style="134" customWidth="1"/>
    <col min="8" max="8" width="10.57421875" style="129" customWidth="1"/>
    <col min="9" max="9" width="9.7109375" style="134" customWidth="1"/>
    <col min="10" max="10" width="9.140625" style="129" customWidth="1"/>
    <col min="11" max="11" width="9.140625" style="134" customWidth="1"/>
    <col min="12" max="12" width="9.28125" style="129" customWidth="1"/>
  </cols>
  <sheetData>
    <row r="1" spans="3:12" ht="12.75">
      <c r="C1" s="63"/>
      <c r="D1" s="128"/>
      <c r="F1" s="128"/>
      <c r="H1" s="408" t="s">
        <v>237</v>
      </c>
      <c r="I1" s="408"/>
      <c r="J1" s="408"/>
      <c r="K1" s="408"/>
      <c r="L1" s="128"/>
    </row>
    <row r="2" spans="1:12" ht="15.75">
      <c r="A2" s="1"/>
      <c r="B2" s="1"/>
      <c r="C2" s="3"/>
      <c r="D2" s="130"/>
      <c r="E2" s="135"/>
      <c r="F2" s="130"/>
      <c r="G2" s="135"/>
      <c r="H2" s="423" t="s">
        <v>734</v>
      </c>
      <c r="I2" s="423"/>
      <c r="J2" s="423"/>
      <c r="K2" s="423"/>
      <c r="L2" s="130"/>
    </row>
    <row r="3" spans="1:12" ht="15.75">
      <c r="A3" s="1"/>
      <c r="B3" s="1"/>
      <c r="C3" s="3"/>
      <c r="D3" s="130"/>
      <c r="E3" s="135"/>
      <c r="F3" s="130"/>
      <c r="G3" s="135"/>
      <c r="H3" s="423" t="s">
        <v>735</v>
      </c>
      <c r="I3" s="423"/>
      <c r="J3" s="423"/>
      <c r="K3" s="423"/>
      <c r="L3" s="130"/>
    </row>
    <row r="4" spans="1:12" ht="15.75">
      <c r="A4" s="1"/>
      <c r="B4" s="1"/>
      <c r="C4" s="3"/>
      <c r="D4" s="130"/>
      <c r="E4" s="135"/>
      <c r="F4" s="130"/>
      <c r="G4" s="135"/>
      <c r="H4" s="130"/>
      <c r="I4" s="136"/>
      <c r="J4" s="137"/>
      <c r="K4" s="136"/>
      <c r="L4" s="130"/>
    </row>
    <row r="5" spans="1:12" ht="18.75">
      <c r="A5" s="422" t="s">
        <v>366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</row>
    <row r="6" spans="1:12" ht="15.75">
      <c r="A6" s="1"/>
      <c r="B6" s="3"/>
      <c r="C6" s="3"/>
      <c r="D6" s="2" t="s">
        <v>88</v>
      </c>
      <c r="E6" s="135"/>
      <c r="F6" s="130"/>
      <c r="G6" s="135"/>
      <c r="H6" s="130"/>
      <c r="I6" s="135"/>
      <c r="J6" s="130"/>
      <c r="K6" s="135"/>
      <c r="L6" s="130"/>
    </row>
    <row r="7" spans="1:12" ht="15.75">
      <c r="A7" s="1"/>
      <c r="B7" s="3"/>
      <c r="C7" s="2"/>
      <c r="D7" s="130"/>
      <c r="E7" s="135"/>
      <c r="F7" s="130"/>
      <c r="G7" s="135"/>
      <c r="H7" s="130"/>
      <c r="I7" s="135"/>
      <c r="J7" s="130"/>
      <c r="K7" s="135"/>
      <c r="L7" s="130"/>
    </row>
    <row r="8" spans="1:12" ht="15" customHeight="1" thickBot="1">
      <c r="A8" s="29"/>
      <c r="B8" s="30"/>
      <c r="C8" s="30"/>
      <c r="D8" s="138"/>
      <c r="E8" s="139"/>
      <c r="F8" s="138"/>
      <c r="G8" s="139"/>
      <c r="H8" s="138"/>
      <c r="I8" s="139"/>
      <c r="J8" s="138"/>
      <c r="K8" s="140"/>
      <c r="L8" s="138"/>
    </row>
    <row r="9" spans="1:12" ht="12" customHeight="1" thickBot="1">
      <c r="A9" s="420" t="s">
        <v>5</v>
      </c>
      <c r="B9" s="420" t="s">
        <v>37</v>
      </c>
      <c r="C9" s="424" t="s">
        <v>62</v>
      </c>
      <c r="D9" s="424"/>
      <c r="E9" s="424"/>
      <c r="F9" s="424"/>
      <c r="G9" s="424"/>
      <c r="H9" s="424"/>
      <c r="I9" s="424"/>
      <c r="J9" s="424"/>
      <c r="K9" s="424"/>
      <c r="L9" s="425"/>
    </row>
    <row r="10" spans="1:12" ht="76.5" customHeight="1">
      <c r="A10" s="421"/>
      <c r="B10" s="421"/>
      <c r="C10" s="150" t="s">
        <v>414</v>
      </c>
      <c r="D10" s="159" t="s">
        <v>6</v>
      </c>
      <c r="E10" s="160" t="s">
        <v>218</v>
      </c>
      <c r="F10" s="159" t="s">
        <v>367</v>
      </c>
      <c r="G10" s="160" t="s">
        <v>368</v>
      </c>
      <c r="H10" s="159" t="s">
        <v>219</v>
      </c>
      <c r="I10" s="160" t="s">
        <v>220</v>
      </c>
      <c r="J10" s="159" t="s">
        <v>221</v>
      </c>
      <c r="K10" s="160" t="s">
        <v>222</v>
      </c>
      <c r="L10" s="161" t="s">
        <v>369</v>
      </c>
    </row>
    <row r="11" spans="1:12" ht="13.5" thickBot="1">
      <c r="A11" s="162">
        <v>1</v>
      </c>
      <c r="B11" s="162">
        <v>2</v>
      </c>
      <c r="C11" s="163">
        <v>3</v>
      </c>
      <c r="D11" s="164">
        <v>4</v>
      </c>
      <c r="E11" s="165">
        <v>5</v>
      </c>
      <c r="F11" s="164">
        <v>6</v>
      </c>
      <c r="G11" s="165">
        <v>7</v>
      </c>
      <c r="H11" s="164">
        <v>10</v>
      </c>
      <c r="I11" s="166">
        <v>11</v>
      </c>
      <c r="J11" s="164">
        <v>12</v>
      </c>
      <c r="K11" s="165">
        <v>13</v>
      </c>
      <c r="L11" s="167">
        <v>14</v>
      </c>
    </row>
    <row r="12" spans="1:12" ht="26.25" thickBot="1">
      <c r="A12" s="215"/>
      <c r="B12" s="216" t="s">
        <v>36</v>
      </c>
      <c r="C12" s="144">
        <f>D12+E12+F12+G12+H12+I12+J12+K12+L12</f>
        <v>47782876</v>
      </c>
      <c r="D12" s="144">
        <f>D13+D29+D34+D56+D65+D76+D82+D108+D141</f>
        <v>33774369</v>
      </c>
      <c r="E12" s="145">
        <f>E13+E29+E34+E56+E65+E82+E108+E141+E76</f>
        <v>39514</v>
      </c>
      <c r="F12" s="144">
        <f>F13+F29+F34+F56+F65+F82+F108+F141</f>
        <v>967178</v>
      </c>
      <c r="G12" s="145">
        <f>G13+G29+G34+G56+G65+G82+G108+G141</f>
        <v>35325</v>
      </c>
      <c r="H12" s="144">
        <f>H13+H29+H34+H56+H65+H82+H108+H141+H76</f>
        <v>9102560</v>
      </c>
      <c r="I12" s="145">
        <f>I13+I29+I34+I56+I65+I76+I82+I108+I141</f>
        <v>0</v>
      </c>
      <c r="J12" s="144">
        <f>J13+J29+J34+J56+J65+J82+J108+J141</f>
        <v>716750</v>
      </c>
      <c r="K12" s="145">
        <f>K13+K29+K34+K56+K65+K76+K82+K108+K141</f>
        <v>0</v>
      </c>
      <c r="L12" s="146">
        <f>L13+L29+L34+L56+L65+L76+L82+L108+L141</f>
        <v>3147180</v>
      </c>
    </row>
    <row r="13" spans="1:12" ht="17.25" customHeight="1">
      <c r="A13" s="263" t="s">
        <v>38</v>
      </c>
      <c r="B13" s="264" t="s">
        <v>17</v>
      </c>
      <c r="C13" s="265">
        <f aca="true" t="shared" si="0" ref="C13:C20">SUM(D13:L13)</f>
        <v>4607729</v>
      </c>
      <c r="D13" s="265">
        <f>SUM(D14+D17+D21+D22+D23+D24+D28)</f>
        <v>2768204</v>
      </c>
      <c r="E13" s="266">
        <f>SUM(E14+E17+E21+E23+E24+E28+E22)</f>
        <v>54114</v>
      </c>
      <c r="F13" s="265">
        <f aca="true" t="shared" si="1" ref="F13:L13">SUM(F14+F17+F21+F23+F24+F28)</f>
        <v>56446</v>
      </c>
      <c r="G13" s="266">
        <f t="shared" si="1"/>
        <v>0</v>
      </c>
      <c r="H13" s="265">
        <f t="shared" si="1"/>
        <v>0</v>
      </c>
      <c r="I13" s="266">
        <f t="shared" si="1"/>
        <v>0</v>
      </c>
      <c r="J13" s="265">
        <f t="shared" si="1"/>
        <v>500000</v>
      </c>
      <c r="K13" s="266">
        <f t="shared" si="1"/>
        <v>0</v>
      </c>
      <c r="L13" s="267">
        <f t="shared" si="1"/>
        <v>1228965</v>
      </c>
    </row>
    <row r="14" spans="1:12" ht="12.75">
      <c r="A14" s="243" t="s">
        <v>48</v>
      </c>
      <c r="B14" s="211" t="s">
        <v>248</v>
      </c>
      <c r="C14" s="212">
        <f t="shared" si="0"/>
        <v>2166856</v>
      </c>
      <c r="D14" s="213">
        <f>SUM(D15:D16)</f>
        <v>1980842</v>
      </c>
      <c r="E14" s="214">
        <f aca="true" t="shared" si="2" ref="E14:L14">SUM(E15:E16)</f>
        <v>45000</v>
      </c>
      <c r="F14" s="213">
        <f t="shared" si="2"/>
        <v>56446</v>
      </c>
      <c r="G14" s="214">
        <f t="shared" si="2"/>
        <v>0</v>
      </c>
      <c r="H14" s="213">
        <f t="shared" si="2"/>
        <v>0</v>
      </c>
      <c r="I14" s="214">
        <f t="shared" si="2"/>
        <v>0</v>
      </c>
      <c r="J14" s="213">
        <f t="shared" si="2"/>
        <v>0</v>
      </c>
      <c r="K14" s="214">
        <f t="shared" si="2"/>
        <v>0</v>
      </c>
      <c r="L14" s="244">
        <f t="shared" si="2"/>
        <v>84568</v>
      </c>
    </row>
    <row r="15" spans="1:12" ht="12.75">
      <c r="A15" s="217" t="s">
        <v>245</v>
      </c>
      <c r="B15" s="195" t="s">
        <v>169</v>
      </c>
      <c r="C15" s="196">
        <f t="shared" si="0"/>
        <v>2166856</v>
      </c>
      <c r="D15" s="44">
        <f>1988554-26000+18288</f>
        <v>1980842</v>
      </c>
      <c r="E15" s="41">
        <v>45000</v>
      </c>
      <c r="F15" s="44">
        <v>56446</v>
      </c>
      <c r="G15" s="41">
        <v>0</v>
      </c>
      <c r="H15" s="44"/>
      <c r="I15" s="42"/>
      <c r="J15" s="44"/>
      <c r="K15" s="41"/>
      <c r="L15" s="218">
        <v>84568</v>
      </c>
    </row>
    <row r="16" spans="1:12" ht="38.25" hidden="1">
      <c r="A16" s="217" t="s">
        <v>246</v>
      </c>
      <c r="B16" s="195" t="s">
        <v>247</v>
      </c>
      <c r="C16" s="116">
        <f t="shared" si="0"/>
        <v>0</v>
      </c>
      <c r="D16" s="44">
        <v>0</v>
      </c>
      <c r="E16" s="41"/>
      <c r="F16" s="44"/>
      <c r="G16" s="41"/>
      <c r="H16" s="44"/>
      <c r="I16" s="42">
        <v>0</v>
      </c>
      <c r="J16" s="35"/>
      <c r="K16" s="31"/>
      <c r="L16" s="36">
        <v>0</v>
      </c>
    </row>
    <row r="17" spans="1:12" ht="12.75">
      <c r="A17" s="219" t="s">
        <v>46</v>
      </c>
      <c r="B17" s="197" t="s">
        <v>73</v>
      </c>
      <c r="C17" s="116">
        <f t="shared" si="0"/>
        <v>209535</v>
      </c>
      <c r="D17" s="58">
        <f>SUM(D18:D20)</f>
        <v>235887</v>
      </c>
      <c r="E17" s="104">
        <f>SUM(E18:E20)</f>
        <v>-30000</v>
      </c>
      <c r="F17" s="58"/>
      <c r="G17" s="37"/>
      <c r="H17" s="58"/>
      <c r="I17" s="37"/>
      <c r="J17" s="58"/>
      <c r="K17" s="37"/>
      <c r="L17" s="60">
        <f>L18+L19+L20</f>
        <v>3648</v>
      </c>
    </row>
    <row r="18" spans="1:12" ht="25.5">
      <c r="A18" s="255" t="s">
        <v>174</v>
      </c>
      <c r="B18" s="208" t="s">
        <v>312</v>
      </c>
      <c r="C18" s="176">
        <f t="shared" si="0"/>
        <v>35000</v>
      </c>
      <c r="D18" s="259">
        <v>31353</v>
      </c>
      <c r="E18" s="106">
        <v>0</v>
      </c>
      <c r="F18" s="259"/>
      <c r="G18" s="106"/>
      <c r="H18" s="259"/>
      <c r="I18" s="106"/>
      <c r="J18" s="259"/>
      <c r="K18" s="106"/>
      <c r="L18" s="260">
        <f>3285+362</f>
        <v>3647</v>
      </c>
    </row>
    <row r="19" spans="1:12" ht="25.5">
      <c r="A19" s="217" t="s">
        <v>175</v>
      </c>
      <c r="B19" s="195" t="s">
        <v>434</v>
      </c>
      <c r="C19" s="141">
        <f t="shared" si="0"/>
        <v>114183</v>
      </c>
      <c r="D19" s="105">
        <v>114182</v>
      </c>
      <c r="E19" s="106"/>
      <c r="F19" s="105"/>
      <c r="G19" s="107"/>
      <c r="H19" s="105"/>
      <c r="I19" s="107"/>
      <c r="J19" s="105"/>
      <c r="K19" s="107"/>
      <c r="L19" s="220">
        <v>1</v>
      </c>
    </row>
    <row r="20" spans="1:12" ht="38.25">
      <c r="A20" s="217" t="s">
        <v>233</v>
      </c>
      <c r="B20" s="195" t="s">
        <v>456</v>
      </c>
      <c r="C20" s="141">
        <f t="shared" si="0"/>
        <v>60352</v>
      </c>
      <c r="D20" s="105">
        <v>90352</v>
      </c>
      <c r="E20" s="106">
        <v>-30000</v>
      </c>
      <c r="F20" s="105"/>
      <c r="G20" s="107"/>
      <c r="H20" s="105"/>
      <c r="I20" s="107"/>
      <c r="J20" s="105"/>
      <c r="K20" s="107"/>
      <c r="L20" s="220"/>
    </row>
    <row r="21" spans="1:12" ht="39.75">
      <c r="A21" s="219" t="s">
        <v>54</v>
      </c>
      <c r="B21" s="197" t="s">
        <v>314</v>
      </c>
      <c r="C21" s="116">
        <f aca="true" t="shared" si="3" ref="C21:C28">SUM(D21:L21)</f>
        <v>309818</v>
      </c>
      <c r="D21" s="58">
        <f>304191+5627</f>
        <v>309818</v>
      </c>
      <c r="E21" s="104"/>
      <c r="F21" s="58"/>
      <c r="G21" s="37"/>
      <c r="H21" s="58"/>
      <c r="I21" s="37"/>
      <c r="J21" s="58"/>
      <c r="K21" s="37"/>
      <c r="L21" s="60"/>
    </row>
    <row r="22" spans="1:12" ht="26.25">
      <c r="A22" s="219" t="s">
        <v>370</v>
      </c>
      <c r="B22" s="197" t="s">
        <v>371</v>
      </c>
      <c r="C22" s="116">
        <f t="shared" si="3"/>
        <v>22683</v>
      </c>
      <c r="D22" s="58">
        <v>22700</v>
      </c>
      <c r="E22" s="104">
        <v>-17</v>
      </c>
      <c r="F22" s="58"/>
      <c r="G22" s="37"/>
      <c r="H22" s="58"/>
      <c r="I22" s="37"/>
      <c r="J22" s="58"/>
      <c r="K22" s="37"/>
      <c r="L22" s="60"/>
    </row>
    <row r="23" spans="1:12" ht="27">
      <c r="A23" s="219" t="s">
        <v>47</v>
      </c>
      <c r="B23" s="197" t="s">
        <v>315</v>
      </c>
      <c r="C23" s="116">
        <f t="shared" si="3"/>
        <v>400871</v>
      </c>
      <c r="D23" s="58">
        <v>-490146</v>
      </c>
      <c r="E23" s="104">
        <v>17</v>
      </c>
      <c r="F23" s="58"/>
      <c r="G23" s="37"/>
      <c r="H23" s="58"/>
      <c r="I23" s="37"/>
      <c r="J23" s="58"/>
      <c r="K23" s="37"/>
      <c r="L23" s="60">
        <v>891000</v>
      </c>
    </row>
    <row r="24" spans="1:12" ht="25.5">
      <c r="A24" s="219" t="s">
        <v>49</v>
      </c>
      <c r="B24" s="197" t="s">
        <v>18</v>
      </c>
      <c r="C24" s="116">
        <f t="shared" si="3"/>
        <v>1444662</v>
      </c>
      <c r="D24" s="58">
        <f>SUM(D25:D27)</f>
        <v>655399</v>
      </c>
      <c r="E24" s="37">
        <f aca="true" t="shared" si="4" ref="E24:L24">SUM(E25:E27)</f>
        <v>39514</v>
      </c>
      <c r="F24" s="58">
        <f t="shared" si="4"/>
        <v>0</v>
      </c>
      <c r="G24" s="37">
        <f t="shared" si="4"/>
        <v>0</v>
      </c>
      <c r="H24" s="58">
        <f t="shared" si="4"/>
        <v>0</v>
      </c>
      <c r="I24" s="37">
        <f t="shared" si="4"/>
        <v>0</v>
      </c>
      <c r="J24" s="58">
        <f t="shared" si="4"/>
        <v>500000</v>
      </c>
      <c r="K24" s="37">
        <f t="shared" si="4"/>
        <v>0</v>
      </c>
      <c r="L24" s="60">
        <f t="shared" si="4"/>
        <v>249749</v>
      </c>
    </row>
    <row r="25" spans="1:12" ht="25.5">
      <c r="A25" s="217" t="s">
        <v>74</v>
      </c>
      <c r="B25" s="195" t="s">
        <v>77</v>
      </c>
      <c r="C25" s="141">
        <f t="shared" si="3"/>
        <v>500511</v>
      </c>
      <c r="D25" s="35"/>
      <c r="E25" s="41"/>
      <c r="F25" s="35"/>
      <c r="G25" s="31"/>
      <c r="H25" s="35"/>
      <c r="I25" s="31"/>
      <c r="J25" s="35">
        <v>500000</v>
      </c>
      <c r="K25" s="31">
        <v>0</v>
      </c>
      <c r="L25" s="36">
        <v>511</v>
      </c>
    </row>
    <row r="26" spans="1:12" ht="25.5">
      <c r="A26" s="217" t="s">
        <v>75</v>
      </c>
      <c r="B26" s="195" t="s">
        <v>78</v>
      </c>
      <c r="C26" s="141">
        <f t="shared" si="3"/>
        <v>226257</v>
      </c>
      <c r="D26" s="35">
        <v>226257</v>
      </c>
      <c r="E26" s="41"/>
      <c r="F26" s="35"/>
      <c r="G26" s="31"/>
      <c r="H26" s="35"/>
      <c r="I26" s="31"/>
      <c r="J26" s="35"/>
      <c r="K26" s="31"/>
      <c r="L26" s="36"/>
    </row>
    <row r="27" spans="1:12" ht="25.5">
      <c r="A27" s="217" t="s">
        <v>76</v>
      </c>
      <c r="B27" s="195" t="s">
        <v>162</v>
      </c>
      <c r="C27" s="141">
        <f t="shared" si="3"/>
        <v>717894</v>
      </c>
      <c r="D27" s="35">
        <v>429142</v>
      </c>
      <c r="E27" s="41">
        <v>39514</v>
      </c>
      <c r="F27" s="35"/>
      <c r="G27" s="31"/>
      <c r="H27" s="35"/>
      <c r="I27" s="31"/>
      <c r="J27" s="35"/>
      <c r="K27" s="31"/>
      <c r="L27" s="36">
        <v>249238</v>
      </c>
    </row>
    <row r="28" spans="1:12" ht="52.5">
      <c r="A28" s="257" t="s">
        <v>50</v>
      </c>
      <c r="B28" s="258" t="s">
        <v>313</v>
      </c>
      <c r="C28" s="196">
        <f t="shared" si="3"/>
        <v>53304</v>
      </c>
      <c r="D28" s="109">
        <v>53704</v>
      </c>
      <c r="E28" s="104">
        <v>-400</v>
      </c>
      <c r="F28" s="109"/>
      <c r="G28" s="104"/>
      <c r="H28" s="109"/>
      <c r="I28" s="104"/>
      <c r="J28" s="109"/>
      <c r="K28" s="104"/>
      <c r="L28" s="225"/>
    </row>
    <row r="29" spans="1:12" s="147" customFormat="1" ht="13.5">
      <c r="A29" s="221" t="s">
        <v>39</v>
      </c>
      <c r="B29" s="198" t="s">
        <v>19</v>
      </c>
      <c r="C29" s="199">
        <f>SUM(D29:L29)</f>
        <v>1736760</v>
      </c>
      <c r="D29" s="199">
        <f aca="true" t="shared" si="5" ref="D29:L29">D30+D31</f>
        <v>1625246</v>
      </c>
      <c r="E29" s="200">
        <f t="shared" si="5"/>
        <v>0</v>
      </c>
      <c r="F29" s="199">
        <f t="shared" si="5"/>
        <v>109330</v>
      </c>
      <c r="G29" s="200">
        <f t="shared" si="5"/>
        <v>0</v>
      </c>
      <c r="H29" s="199">
        <f t="shared" si="5"/>
        <v>0</v>
      </c>
      <c r="I29" s="200">
        <f t="shared" si="5"/>
        <v>0</v>
      </c>
      <c r="J29" s="199">
        <f t="shared" si="5"/>
        <v>0</v>
      </c>
      <c r="K29" s="200">
        <f t="shared" si="5"/>
        <v>0</v>
      </c>
      <c r="L29" s="222">
        <f t="shared" si="5"/>
        <v>2184</v>
      </c>
    </row>
    <row r="30" spans="1:12" ht="27">
      <c r="A30" s="219" t="s">
        <v>316</v>
      </c>
      <c r="B30" s="201" t="s">
        <v>435</v>
      </c>
      <c r="C30" s="116">
        <f aca="true" t="shared" si="6" ref="C30:C36">SUM(D30:L30)</f>
        <v>1637191</v>
      </c>
      <c r="D30" s="109">
        <f>1522086+3853</f>
        <v>1525939</v>
      </c>
      <c r="E30" s="104"/>
      <c r="F30" s="58">
        <v>109330</v>
      </c>
      <c r="G30" s="37"/>
      <c r="H30" s="58"/>
      <c r="I30" s="37"/>
      <c r="J30" s="58"/>
      <c r="K30" s="37"/>
      <c r="L30" s="60">
        <v>1922</v>
      </c>
    </row>
    <row r="31" spans="1:12" ht="25.5">
      <c r="A31" s="219" t="s">
        <v>51</v>
      </c>
      <c r="B31" s="197" t="s">
        <v>79</v>
      </c>
      <c r="C31" s="116">
        <f t="shared" si="6"/>
        <v>99569</v>
      </c>
      <c r="D31" s="58">
        <f>SUM(D32:D33)</f>
        <v>99307</v>
      </c>
      <c r="E31" s="37">
        <f aca="true" t="shared" si="7" ref="E31:L31">SUM(E32:E33)</f>
        <v>0</v>
      </c>
      <c r="F31" s="58">
        <f t="shared" si="7"/>
        <v>0</v>
      </c>
      <c r="G31" s="37">
        <f t="shared" si="7"/>
        <v>0</v>
      </c>
      <c r="H31" s="58">
        <f t="shared" si="7"/>
        <v>0</v>
      </c>
      <c r="I31" s="37">
        <f t="shared" si="7"/>
        <v>0</v>
      </c>
      <c r="J31" s="58">
        <f t="shared" si="7"/>
        <v>0</v>
      </c>
      <c r="K31" s="37">
        <f t="shared" si="7"/>
        <v>0</v>
      </c>
      <c r="L31" s="60">
        <f t="shared" si="7"/>
        <v>262</v>
      </c>
    </row>
    <row r="32" spans="1:12" ht="25.5">
      <c r="A32" s="217" t="s">
        <v>97</v>
      </c>
      <c r="B32" s="195" t="s">
        <v>457</v>
      </c>
      <c r="C32" s="141">
        <f t="shared" si="6"/>
        <v>73165</v>
      </c>
      <c r="D32" s="35">
        <v>73165</v>
      </c>
      <c r="E32" s="42"/>
      <c r="F32" s="35"/>
      <c r="G32" s="32"/>
      <c r="H32" s="35"/>
      <c r="I32" s="32"/>
      <c r="J32" s="35"/>
      <c r="K32" s="32"/>
      <c r="L32" s="36"/>
    </row>
    <row r="33" spans="1:12" ht="51">
      <c r="A33" s="217" t="s">
        <v>372</v>
      </c>
      <c r="B33" s="195" t="s">
        <v>373</v>
      </c>
      <c r="C33" s="141">
        <f t="shared" si="6"/>
        <v>26404</v>
      </c>
      <c r="D33" s="35">
        <v>26142</v>
      </c>
      <c r="E33" s="42"/>
      <c r="F33" s="35"/>
      <c r="G33" s="32"/>
      <c r="H33" s="35"/>
      <c r="I33" s="32"/>
      <c r="J33" s="35"/>
      <c r="K33" s="32"/>
      <c r="L33" s="36">
        <v>262</v>
      </c>
    </row>
    <row r="34" spans="1:12" s="147" customFormat="1" ht="13.5">
      <c r="A34" s="221" t="s">
        <v>40</v>
      </c>
      <c r="B34" s="198" t="s">
        <v>20</v>
      </c>
      <c r="C34" s="199">
        <f t="shared" si="6"/>
        <v>11571085</v>
      </c>
      <c r="D34" s="199">
        <f aca="true" t="shared" si="8" ref="D34:L34">D35+D41+D44</f>
        <v>9577886</v>
      </c>
      <c r="E34" s="200">
        <f t="shared" si="8"/>
        <v>79233</v>
      </c>
      <c r="F34" s="199">
        <f t="shared" si="8"/>
        <v>56645</v>
      </c>
      <c r="G34" s="200">
        <f t="shared" si="8"/>
        <v>35325</v>
      </c>
      <c r="H34" s="199">
        <f t="shared" si="8"/>
        <v>358257</v>
      </c>
      <c r="I34" s="200">
        <f t="shared" si="8"/>
        <v>0</v>
      </c>
      <c r="J34" s="199">
        <f t="shared" si="8"/>
        <v>28000</v>
      </c>
      <c r="K34" s="200">
        <f t="shared" si="8"/>
        <v>0</v>
      </c>
      <c r="L34" s="222">
        <f t="shared" si="8"/>
        <v>1435739</v>
      </c>
    </row>
    <row r="35" spans="1:12" ht="12.75">
      <c r="A35" s="219" t="s">
        <v>52</v>
      </c>
      <c r="B35" s="197" t="s">
        <v>53</v>
      </c>
      <c r="C35" s="116">
        <f t="shared" si="6"/>
        <v>9925833</v>
      </c>
      <c r="D35" s="58">
        <f>D36+D37+D38+D39+D40</f>
        <v>8425946</v>
      </c>
      <c r="E35" s="37">
        <f aca="true" t="shared" si="9" ref="E35:L35">E36+E37+E38+E39+E40</f>
        <v>79233</v>
      </c>
      <c r="F35" s="58">
        <f t="shared" si="9"/>
        <v>0</v>
      </c>
      <c r="G35" s="37">
        <f t="shared" si="9"/>
        <v>0</v>
      </c>
      <c r="H35" s="58">
        <f t="shared" si="9"/>
        <v>175632</v>
      </c>
      <c r="I35" s="37">
        <f t="shared" si="9"/>
        <v>0</v>
      </c>
      <c r="J35" s="58">
        <f t="shared" si="9"/>
        <v>0</v>
      </c>
      <c r="K35" s="37">
        <f t="shared" si="9"/>
        <v>0</v>
      </c>
      <c r="L35" s="58">
        <f t="shared" si="9"/>
        <v>1245022</v>
      </c>
    </row>
    <row r="36" spans="1:12" ht="25.5">
      <c r="A36" s="223" t="s">
        <v>80</v>
      </c>
      <c r="B36" s="195" t="s">
        <v>163</v>
      </c>
      <c r="C36" s="141">
        <f t="shared" si="6"/>
        <v>699615</v>
      </c>
      <c r="D36" s="44">
        <v>619250</v>
      </c>
      <c r="E36" s="41">
        <v>79233</v>
      </c>
      <c r="F36" s="44"/>
      <c r="G36" s="41"/>
      <c r="H36" s="44">
        <v>1132</v>
      </c>
      <c r="I36" s="41"/>
      <c r="J36" s="44"/>
      <c r="K36" s="31"/>
      <c r="L36" s="36"/>
    </row>
    <row r="37" spans="1:12" ht="25.5">
      <c r="A37" s="217" t="s">
        <v>112</v>
      </c>
      <c r="B37" s="202" t="s">
        <v>91</v>
      </c>
      <c r="C37" s="115">
        <f aca="true" t="shared" si="10" ref="C37:C65">SUM(D37:L37)</f>
        <v>1079021</v>
      </c>
      <c r="D37" s="35">
        <f>29021+280000</f>
        <v>309021</v>
      </c>
      <c r="E37" s="41"/>
      <c r="F37" s="35"/>
      <c r="G37" s="31"/>
      <c r="H37" s="35"/>
      <c r="I37" s="31"/>
      <c r="J37" s="35"/>
      <c r="K37" s="31"/>
      <c r="L37" s="36">
        <v>770000</v>
      </c>
    </row>
    <row r="38" spans="1:12" ht="38.25">
      <c r="A38" s="223" t="s">
        <v>250</v>
      </c>
      <c r="B38" s="202" t="s">
        <v>317</v>
      </c>
      <c r="C38" s="203">
        <f t="shared" si="10"/>
        <v>4627972</v>
      </c>
      <c r="D38" s="44">
        <v>4422215</v>
      </c>
      <c r="E38" s="34"/>
      <c r="F38" s="35"/>
      <c r="G38" s="31"/>
      <c r="H38" s="35"/>
      <c r="I38" s="31"/>
      <c r="J38" s="35"/>
      <c r="K38" s="31"/>
      <c r="L38" s="36">
        <v>205757</v>
      </c>
    </row>
    <row r="39" spans="1:12" ht="38.25">
      <c r="A39" s="223" t="s">
        <v>374</v>
      </c>
      <c r="B39" s="202" t="s">
        <v>375</v>
      </c>
      <c r="C39" s="203">
        <f t="shared" si="10"/>
        <v>3344725</v>
      </c>
      <c r="D39" s="44">
        <f>3316026-240566</f>
        <v>3075460</v>
      </c>
      <c r="E39" s="34"/>
      <c r="F39" s="35"/>
      <c r="G39" s="31"/>
      <c r="H39" s="44"/>
      <c r="I39" s="31"/>
      <c r="J39" s="35"/>
      <c r="K39" s="31"/>
      <c r="L39" s="36">
        <v>269265</v>
      </c>
    </row>
    <row r="40" spans="1:12" ht="38.25">
      <c r="A40" s="223" t="s">
        <v>454</v>
      </c>
      <c r="B40" s="202" t="s">
        <v>455</v>
      </c>
      <c r="C40" s="203">
        <f>SUM(D40:L40)</f>
        <v>174500</v>
      </c>
      <c r="D40" s="44"/>
      <c r="E40" s="34"/>
      <c r="F40" s="35"/>
      <c r="G40" s="31"/>
      <c r="H40" s="44">
        <v>174500</v>
      </c>
      <c r="I40" s="31"/>
      <c r="J40" s="35"/>
      <c r="K40" s="31"/>
      <c r="L40" s="36"/>
    </row>
    <row r="41" spans="1:12" ht="12.75">
      <c r="A41" s="224" t="s">
        <v>113</v>
      </c>
      <c r="B41" s="204" t="s">
        <v>176</v>
      </c>
      <c r="C41" s="184">
        <f t="shared" si="10"/>
        <v>287869</v>
      </c>
      <c r="D41" s="109">
        <f aca="true" t="shared" si="11" ref="D41:L41">D42+D43</f>
        <v>242910</v>
      </c>
      <c r="E41" s="109">
        <f t="shared" si="11"/>
        <v>0</v>
      </c>
      <c r="F41" s="109">
        <f t="shared" si="11"/>
        <v>42645</v>
      </c>
      <c r="G41" s="109">
        <f t="shared" si="11"/>
        <v>0</v>
      </c>
      <c r="H41" s="109">
        <f t="shared" si="11"/>
        <v>0</v>
      </c>
      <c r="I41" s="109">
        <f t="shared" si="11"/>
        <v>0</v>
      </c>
      <c r="J41" s="109">
        <f t="shared" si="11"/>
        <v>0</v>
      </c>
      <c r="K41" s="109">
        <f t="shared" si="11"/>
        <v>0</v>
      </c>
      <c r="L41" s="225">
        <f t="shared" si="11"/>
        <v>2314</v>
      </c>
    </row>
    <row r="42" spans="1:12" ht="12.75">
      <c r="A42" s="217" t="s">
        <v>184</v>
      </c>
      <c r="B42" s="202" t="s">
        <v>436</v>
      </c>
      <c r="C42" s="115">
        <f t="shared" si="10"/>
        <v>219364</v>
      </c>
      <c r="D42" s="33">
        <v>174420</v>
      </c>
      <c r="E42" s="31"/>
      <c r="F42" s="33">
        <v>42645</v>
      </c>
      <c r="G42" s="41">
        <v>0</v>
      </c>
      <c r="H42" s="35"/>
      <c r="I42" s="31"/>
      <c r="J42" s="35"/>
      <c r="K42" s="31"/>
      <c r="L42" s="36">
        <v>2299</v>
      </c>
    </row>
    <row r="43" spans="1:12" ht="38.25">
      <c r="A43" s="217" t="s">
        <v>376</v>
      </c>
      <c r="B43" s="202" t="s">
        <v>458</v>
      </c>
      <c r="C43" s="115">
        <f t="shared" si="10"/>
        <v>68505</v>
      </c>
      <c r="D43" s="33">
        <f>82669-47679+33500</f>
        <v>68490</v>
      </c>
      <c r="E43" s="31"/>
      <c r="F43" s="33"/>
      <c r="G43" s="41"/>
      <c r="H43" s="35"/>
      <c r="I43" s="31"/>
      <c r="J43" s="35"/>
      <c r="K43" s="31"/>
      <c r="L43" s="36">
        <v>15</v>
      </c>
    </row>
    <row r="44" spans="1:12" ht="12.75">
      <c r="A44" s="224" t="s">
        <v>177</v>
      </c>
      <c r="B44" s="204" t="s">
        <v>178</v>
      </c>
      <c r="C44" s="184">
        <f t="shared" si="10"/>
        <v>1357383</v>
      </c>
      <c r="D44" s="58">
        <f>SUM(D45:D55)</f>
        <v>909030</v>
      </c>
      <c r="E44" s="58">
        <f aca="true" t="shared" si="12" ref="E44:L44">SUM(E45:E55)</f>
        <v>0</v>
      </c>
      <c r="F44" s="58">
        <f t="shared" si="12"/>
        <v>14000</v>
      </c>
      <c r="G44" s="58">
        <f t="shared" si="12"/>
        <v>35325</v>
      </c>
      <c r="H44" s="58">
        <f t="shared" si="12"/>
        <v>182625</v>
      </c>
      <c r="I44" s="58">
        <f t="shared" si="12"/>
        <v>0</v>
      </c>
      <c r="J44" s="58">
        <f t="shared" si="12"/>
        <v>28000</v>
      </c>
      <c r="K44" s="58">
        <f t="shared" si="12"/>
        <v>0</v>
      </c>
      <c r="L44" s="60">
        <f t="shared" si="12"/>
        <v>188403</v>
      </c>
    </row>
    <row r="45" spans="1:12" ht="25.5">
      <c r="A45" s="217" t="s">
        <v>203</v>
      </c>
      <c r="B45" s="195" t="s">
        <v>318</v>
      </c>
      <c r="C45" s="115">
        <f t="shared" si="10"/>
        <v>23580</v>
      </c>
      <c r="D45" s="33">
        <f>16980+6600</f>
        <v>23580</v>
      </c>
      <c r="E45" s="42"/>
      <c r="F45" s="35"/>
      <c r="G45" s="31"/>
      <c r="H45" s="33"/>
      <c r="I45" s="32"/>
      <c r="J45" s="35"/>
      <c r="K45" s="31"/>
      <c r="L45" s="59"/>
    </row>
    <row r="46" spans="1:12" ht="12.75" hidden="1">
      <c r="A46" s="217" t="s">
        <v>206</v>
      </c>
      <c r="B46" s="195" t="s">
        <v>179</v>
      </c>
      <c r="C46" s="115">
        <f t="shared" si="10"/>
        <v>0</v>
      </c>
      <c r="D46" s="33">
        <v>0</v>
      </c>
      <c r="E46" s="41"/>
      <c r="F46" s="35"/>
      <c r="G46" s="31"/>
      <c r="H46" s="35"/>
      <c r="I46" s="31"/>
      <c r="J46" s="35"/>
      <c r="K46" s="31"/>
      <c r="L46" s="59"/>
    </row>
    <row r="47" spans="1:12" ht="38.25" hidden="1">
      <c r="A47" s="217" t="s">
        <v>204</v>
      </c>
      <c r="B47" s="195" t="s">
        <v>235</v>
      </c>
      <c r="C47" s="115">
        <f>SUM(D47:L47)</f>
        <v>0</v>
      </c>
      <c r="D47" s="110">
        <v>0</v>
      </c>
      <c r="E47" s="41"/>
      <c r="F47" s="35"/>
      <c r="G47" s="41"/>
      <c r="H47" s="44"/>
      <c r="I47" s="41"/>
      <c r="J47" s="35"/>
      <c r="K47" s="31"/>
      <c r="L47" s="59"/>
    </row>
    <row r="48" spans="1:12" ht="51">
      <c r="A48" s="217" t="s">
        <v>205</v>
      </c>
      <c r="B48" s="195" t="s">
        <v>223</v>
      </c>
      <c r="C48" s="115">
        <f t="shared" si="10"/>
        <v>49000</v>
      </c>
      <c r="D48" s="141">
        <v>7000</v>
      </c>
      <c r="E48" s="41"/>
      <c r="F48" s="35">
        <v>14000</v>
      </c>
      <c r="G48" s="31"/>
      <c r="H48" s="35"/>
      <c r="I48" s="31"/>
      <c r="J48" s="33">
        <v>28000</v>
      </c>
      <c r="K48" s="41"/>
      <c r="L48" s="36"/>
    </row>
    <row r="49" spans="1:12" ht="25.5">
      <c r="A49" s="217" t="s">
        <v>249</v>
      </c>
      <c r="B49" s="195" t="s">
        <v>437</v>
      </c>
      <c r="C49" s="203">
        <f>SUM(D49:L49)</f>
        <v>4918</v>
      </c>
      <c r="D49" s="141">
        <v>2500</v>
      </c>
      <c r="E49" s="41"/>
      <c r="F49" s="35"/>
      <c r="G49" s="31"/>
      <c r="H49" s="35"/>
      <c r="I49" s="31"/>
      <c r="J49" s="33"/>
      <c r="K49" s="41"/>
      <c r="L49" s="36">
        <v>2418</v>
      </c>
    </row>
    <row r="50" spans="1:12" ht="51">
      <c r="A50" s="217" t="s">
        <v>256</v>
      </c>
      <c r="B50" s="195" t="s">
        <v>459</v>
      </c>
      <c r="C50" s="115">
        <f t="shared" si="10"/>
        <v>108373</v>
      </c>
      <c r="D50" s="141">
        <v>41048</v>
      </c>
      <c r="E50" s="41">
        <v>0</v>
      </c>
      <c r="F50" s="35"/>
      <c r="G50" s="31">
        <v>35325</v>
      </c>
      <c r="H50" s="35"/>
      <c r="I50" s="31"/>
      <c r="J50" s="33"/>
      <c r="K50" s="41"/>
      <c r="L50" s="36">
        <v>32000</v>
      </c>
    </row>
    <row r="51" spans="1:12" ht="12.75">
      <c r="A51" s="217" t="s">
        <v>259</v>
      </c>
      <c r="B51" s="195" t="s">
        <v>377</v>
      </c>
      <c r="C51" s="115">
        <f t="shared" si="10"/>
        <v>1500</v>
      </c>
      <c r="D51" s="141">
        <v>1500</v>
      </c>
      <c r="E51" s="41"/>
      <c r="F51" s="35"/>
      <c r="G51" s="31"/>
      <c r="H51" s="35"/>
      <c r="I51" s="31"/>
      <c r="J51" s="33"/>
      <c r="K51" s="41"/>
      <c r="L51" s="36"/>
    </row>
    <row r="52" spans="1:12" ht="51" hidden="1">
      <c r="A52" s="217" t="s">
        <v>302</v>
      </c>
      <c r="B52" s="195" t="s">
        <v>319</v>
      </c>
      <c r="C52" s="115">
        <f>SUM(D52:L52)</f>
        <v>0</v>
      </c>
      <c r="D52" s="176">
        <v>0</v>
      </c>
      <c r="E52" s="41"/>
      <c r="F52" s="35"/>
      <c r="G52" s="31"/>
      <c r="H52" s="35"/>
      <c r="I52" s="31"/>
      <c r="J52" s="33"/>
      <c r="K52" s="41"/>
      <c r="L52" s="36">
        <v>0</v>
      </c>
    </row>
    <row r="53" spans="1:12" ht="38.25">
      <c r="A53" s="217" t="s">
        <v>320</v>
      </c>
      <c r="B53" s="195" t="s">
        <v>460</v>
      </c>
      <c r="C53" s="115">
        <f>SUM(D53:L53)</f>
        <v>975305</v>
      </c>
      <c r="D53" s="141">
        <f>776545+51157</f>
        <v>827702</v>
      </c>
      <c r="E53" s="41"/>
      <c r="F53" s="35"/>
      <c r="G53" s="31"/>
      <c r="H53" s="35"/>
      <c r="I53" s="31"/>
      <c r="J53" s="33"/>
      <c r="K53" s="41"/>
      <c r="L53" s="36">
        <v>147603</v>
      </c>
    </row>
    <row r="54" spans="1:12" ht="25.5">
      <c r="A54" s="255" t="s">
        <v>378</v>
      </c>
      <c r="B54" s="208" t="s">
        <v>379</v>
      </c>
      <c r="C54" s="256">
        <f>SUM(D54:L54)</f>
        <v>12222</v>
      </c>
      <c r="D54" s="176">
        <v>5700</v>
      </c>
      <c r="E54" s="41"/>
      <c r="F54" s="44"/>
      <c r="G54" s="41"/>
      <c r="H54" s="44">
        <v>140</v>
      </c>
      <c r="I54" s="41"/>
      <c r="J54" s="110"/>
      <c r="K54" s="41"/>
      <c r="L54" s="218">
        <v>6382</v>
      </c>
    </row>
    <row r="55" spans="1:12" ht="38.25">
      <c r="A55" s="255" t="s">
        <v>452</v>
      </c>
      <c r="B55" s="208" t="s">
        <v>461</v>
      </c>
      <c r="C55" s="256">
        <f>SUM(D55:L55)</f>
        <v>182485</v>
      </c>
      <c r="D55" s="176"/>
      <c r="E55" s="41"/>
      <c r="F55" s="44"/>
      <c r="G55" s="41"/>
      <c r="H55" s="44">
        <v>182485</v>
      </c>
      <c r="I55" s="41"/>
      <c r="J55" s="110"/>
      <c r="K55" s="41"/>
      <c r="L55" s="218"/>
    </row>
    <row r="56" spans="1:12" s="147" customFormat="1" ht="13.5">
      <c r="A56" s="221" t="s">
        <v>41</v>
      </c>
      <c r="B56" s="198" t="s">
        <v>21</v>
      </c>
      <c r="C56" s="199">
        <f t="shared" si="10"/>
        <v>2144091</v>
      </c>
      <c r="D56" s="199">
        <f>D57+D60+D61+D63</f>
        <v>1955211</v>
      </c>
      <c r="E56" s="200">
        <f aca="true" t="shared" si="13" ref="E56:L56">E57+E60+E61+E63</f>
        <v>37560</v>
      </c>
      <c r="F56" s="199">
        <f t="shared" si="13"/>
        <v>0</v>
      </c>
      <c r="G56" s="200">
        <f t="shared" si="13"/>
        <v>0</v>
      </c>
      <c r="H56" s="199">
        <f t="shared" si="13"/>
        <v>107296</v>
      </c>
      <c r="I56" s="200">
        <f t="shared" si="13"/>
        <v>0</v>
      </c>
      <c r="J56" s="199">
        <f t="shared" si="13"/>
        <v>40000</v>
      </c>
      <c r="K56" s="200">
        <f t="shared" si="13"/>
        <v>0</v>
      </c>
      <c r="L56" s="222">
        <f t="shared" si="13"/>
        <v>4024</v>
      </c>
    </row>
    <row r="57" spans="1:12" ht="12.75">
      <c r="A57" s="219" t="s">
        <v>55</v>
      </c>
      <c r="B57" s="201" t="s">
        <v>56</v>
      </c>
      <c r="C57" s="116">
        <f t="shared" si="10"/>
        <v>772654</v>
      </c>
      <c r="D57" s="58">
        <f aca="true" t="shared" si="14" ref="D57:L57">D58+D59</f>
        <v>818331</v>
      </c>
      <c r="E57" s="37">
        <f t="shared" si="14"/>
        <v>-45677</v>
      </c>
      <c r="F57" s="58">
        <f t="shared" si="14"/>
        <v>0</v>
      </c>
      <c r="G57" s="37">
        <f t="shared" si="14"/>
        <v>0</v>
      </c>
      <c r="H57" s="58">
        <f t="shared" si="14"/>
        <v>0</v>
      </c>
      <c r="I57" s="37">
        <f t="shared" si="14"/>
        <v>0</v>
      </c>
      <c r="J57" s="58">
        <f t="shared" si="14"/>
        <v>0</v>
      </c>
      <c r="K57" s="37">
        <f t="shared" si="14"/>
        <v>0</v>
      </c>
      <c r="L57" s="60">
        <f t="shared" si="14"/>
        <v>0</v>
      </c>
    </row>
    <row r="58" spans="1:12" ht="38.25">
      <c r="A58" s="217" t="s">
        <v>81</v>
      </c>
      <c r="B58" s="195" t="s">
        <v>462</v>
      </c>
      <c r="C58" s="115">
        <f t="shared" si="10"/>
        <v>603915</v>
      </c>
      <c r="D58" s="35">
        <v>649592</v>
      </c>
      <c r="E58" s="41">
        <v>-45677</v>
      </c>
      <c r="F58" s="35"/>
      <c r="G58" s="31"/>
      <c r="H58" s="35"/>
      <c r="I58" s="31"/>
      <c r="J58" s="35"/>
      <c r="K58" s="31"/>
      <c r="L58" s="36"/>
    </row>
    <row r="59" spans="1:12" ht="25.5">
      <c r="A59" s="217" t="s">
        <v>224</v>
      </c>
      <c r="B59" s="195" t="s">
        <v>350</v>
      </c>
      <c r="C59" s="115">
        <f t="shared" si="10"/>
        <v>168739</v>
      </c>
      <c r="D59" s="35">
        <v>168739</v>
      </c>
      <c r="E59" s="31"/>
      <c r="F59" s="35"/>
      <c r="G59" s="31"/>
      <c r="H59" s="35"/>
      <c r="I59" s="31"/>
      <c r="J59" s="35"/>
      <c r="K59" s="31"/>
      <c r="L59" s="36"/>
    </row>
    <row r="60" spans="1:12" ht="12.75">
      <c r="A60" s="219" t="s">
        <v>57</v>
      </c>
      <c r="B60" s="201" t="s">
        <v>107</v>
      </c>
      <c r="C60" s="116">
        <f>SUM(D60:L60)</f>
        <v>504259</v>
      </c>
      <c r="D60" s="58">
        <f>283683+73830</f>
        <v>357513</v>
      </c>
      <c r="E60" s="104">
        <v>83237</v>
      </c>
      <c r="F60" s="58"/>
      <c r="G60" s="37"/>
      <c r="H60" s="58">
        <v>23509</v>
      </c>
      <c r="I60" s="104"/>
      <c r="J60" s="58">
        <v>40000</v>
      </c>
      <c r="K60" s="37"/>
      <c r="L60" s="60"/>
    </row>
    <row r="61" spans="1:12" ht="25.5">
      <c r="A61" s="219" t="s">
        <v>380</v>
      </c>
      <c r="B61" s="201" t="s">
        <v>381</v>
      </c>
      <c r="C61" s="116">
        <f>SUM(D61:L61)</f>
        <v>234319</v>
      </c>
      <c r="D61" s="58">
        <f>D62</f>
        <v>163047</v>
      </c>
      <c r="E61" s="58">
        <f aca="true" t="shared" si="15" ref="E61:L63">E62</f>
        <v>0</v>
      </c>
      <c r="F61" s="58">
        <f t="shared" si="15"/>
        <v>0</v>
      </c>
      <c r="G61" s="58">
        <f t="shared" si="15"/>
        <v>0</v>
      </c>
      <c r="H61" s="58">
        <f t="shared" si="15"/>
        <v>67248</v>
      </c>
      <c r="I61" s="58">
        <f t="shared" si="15"/>
        <v>0</v>
      </c>
      <c r="J61" s="58">
        <f t="shared" si="15"/>
        <v>0</v>
      </c>
      <c r="K61" s="58">
        <f t="shared" si="15"/>
        <v>0</v>
      </c>
      <c r="L61" s="60">
        <f t="shared" si="15"/>
        <v>4024</v>
      </c>
    </row>
    <row r="62" spans="1:12" ht="51">
      <c r="A62" s="217" t="s">
        <v>444</v>
      </c>
      <c r="B62" s="205" t="s">
        <v>382</v>
      </c>
      <c r="C62" s="116">
        <f>SUM(D62:L62)</f>
        <v>234319</v>
      </c>
      <c r="D62" s="58">
        <v>163047</v>
      </c>
      <c r="E62" s="104"/>
      <c r="F62" s="58"/>
      <c r="G62" s="37"/>
      <c r="H62" s="58">
        <f>62748+4500</f>
        <v>67248</v>
      </c>
      <c r="I62" s="104"/>
      <c r="J62" s="58"/>
      <c r="K62" s="37"/>
      <c r="L62" s="60">
        <v>4024</v>
      </c>
    </row>
    <row r="63" spans="1:12" ht="12.75">
      <c r="A63" s="219" t="s">
        <v>380</v>
      </c>
      <c r="B63" s="201" t="s">
        <v>447</v>
      </c>
      <c r="C63" s="116">
        <f>SUM(D63:L63)</f>
        <v>632859</v>
      </c>
      <c r="D63" s="58">
        <f>D64</f>
        <v>616320</v>
      </c>
      <c r="E63" s="58">
        <f t="shared" si="15"/>
        <v>0</v>
      </c>
      <c r="F63" s="58">
        <f t="shared" si="15"/>
        <v>0</v>
      </c>
      <c r="G63" s="58">
        <f t="shared" si="15"/>
        <v>0</v>
      </c>
      <c r="H63" s="58">
        <f t="shared" si="15"/>
        <v>16539</v>
      </c>
      <c r="I63" s="58">
        <f t="shared" si="15"/>
        <v>0</v>
      </c>
      <c r="J63" s="58">
        <f t="shared" si="15"/>
        <v>0</v>
      </c>
      <c r="K63" s="58">
        <f t="shared" si="15"/>
        <v>0</v>
      </c>
      <c r="L63" s="60">
        <f t="shared" si="15"/>
        <v>0</v>
      </c>
    </row>
    <row r="64" spans="1:12" ht="38.25">
      <c r="A64" s="217" t="s">
        <v>445</v>
      </c>
      <c r="B64" s="205" t="s">
        <v>446</v>
      </c>
      <c r="C64" s="116">
        <f>SUM(D64:L64)</f>
        <v>632859</v>
      </c>
      <c r="D64" s="58">
        <v>616320</v>
      </c>
      <c r="E64" s="104"/>
      <c r="F64" s="58"/>
      <c r="G64" s="37"/>
      <c r="H64" s="58">
        <v>16539</v>
      </c>
      <c r="I64" s="104"/>
      <c r="J64" s="58"/>
      <c r="K64" s="37"/>
      <c r="L64" s="60"/>
    </row>
    <row r="65" spans="1:12" s="147" customFormat="1" ht="13.5">
      <c r="A65" s="221" t="s">
        <v>42</v>
      </c>
      <c r="B65" s="198" t="s">
        <v>200</v>
      </c>
      <c r="C65" s="199">
        <f t="shared" si="10"/>
        <v>2532124</v>
      </c>
      <c r="D65" s="199">
        <f aca="true" t="shared" si="16" ref="D65:K65">D66+D67+D70</f>
        <v>2287225</v>
      </c>
      <c r="E65" s="200">
        <f t="shared" si="16"/>
        <v>-108490</v>
      </c>
      <c r="F65" s="199">
        <f t="shared" si="16"/>
        <v>110500</v>
      </c>
      <c r="G65" s="200">
        <f t="shared" si="16"/>
        <v>0</v>
      </c>
      <c r="H65" s="199">
        <f t="shared" si="16"/>
        <v>242561</v>
      </c>
      <c r="I65" s="200">
        <f t="shared" si="16"/>
        <v>0</v>
      </c>
      <c r="J65" s="199">
        <f t="shared" si="16"/>
        <v>0</v>
      </c>
      <c r="K65" s="200">
        <f t="shared" si="16"/>
        <v>0</v>
      </c>
      <c r="L65" s="222">
        <f>SUM(L66:L70)</f>
        <v>328</v>
      </c>
    </row>
    <row r="66" spans="1:12" ht="13.5">
      <c r="A66" s="226" t="s">
        <v>383</v>
      </c>
      <c r="B66" s="207" t="s">
        <v>438</v>
      </c>
      <c r="C66" s="116">
        <f>SUM(D66:L66)</f>
        <v>204682</v>
      </c>
      <c r="D66" s="58">
        <f>138806+80876</f>
        <v>219682</v>
      </c>
      <c r="E66" s="37">
        <v>-15000</v>
      </c>
      <c r="F66" s="58"/>
      <c r="G66" s="37"/>
      <c r="H66" s="58"/>
      <c r="I66" s="37">
        <v>0</v>
      </c>
      <c r="J66" s="58"/>
      <c r="K66" s="37"/>
      <c r="L66" s="60"/>
    </row>
    <row r="67" spans="1:12" ht="13.5">
      <c r="A67" s="219" t="s">
        <v>58</v>
      </c>
      <c r="B67" s="207" t="s">
        <v>59</v>
      </c>
      <c r="C67" s="116">
        <f>SUM(D67:L67)</f>
        <v>894712</v>
      </c>
      <c r="D67" s="58">
        <f>D68+D69</f>
        <v>603497</v>
      </c>
      <c r="E67" s="58">
        <f aca="true" t="shared" si="17" ref="E67:L67">E68+E69</f>
        <v>55824</v>
      </c>
      <c r="F67" s="58">
        <f t="shared" si="17"/>
        <v>0</v>
      </c>
      <c r="G67" s="58">
        <f t="shared" si="17"/>
        <v>0</v>
      </c>
      <c r="H67" s="58">
        <f t="shared" si="17"/>
        <v>235391</v>
      </c>
      <c r="I67" s="58">
        <f t="shared" si="17"/>
        <v>0</v>
      </c>
      <c r="J67" s="58">
        <f t="shared" si="17"/>
        <v>0</v>
      </c>
      <c r="K67" s="58">
        <f t="shared" si="17"/>
        <v>0</v>
      </c>
      <c r="L67" s="60">
        <f t="shared" si="17"/>
        <v>0</v>
      </c>
    </row>
    <row r="68" spans="1:12" ht="12.75">
      <c r="A68" s="217" t="s">
        <v>448</v>
      </c>
      <c r="B68" s="205" t="s">
        <v>59</v>
      </c>
      <c r="C68" s="116">
        <f>SUM(D68:L68)</f>
        <v>395258</v>
      </c>
      <c r="D68" s="58">
        <v>339434</v>
      </c>
      <c r="E68" s="104">
        <v>55824</v>
      </c>
      <c r="F68" s="58"/>
      <c r="G68" s="37"/>
      <c r="H68" s="58"/>
      <c r="I68" s="37"/>
      <c r="J68" s="58"/>
      <c r="K68" s="37"/>
      <c r="L68" s="60"/>
    </row>
    <row r="69" spans="1:12" ht="51">
      <c r="A69" s="255" t="s">
        <v>449</v>
      </c>
      <c r="B69" s="268" t="s">
        <v>450</v>
      </c>
      <c r="C69" s="196">
        <f>SUM(D69:L69)</f>
        <v>499454</v>
      </c>
      <c r="D69" s="109">
        <f>226975+37088</f>
        <v>264063</v>
      </c>
      <c r="E69" s="104"/>
      <c r="F69" s="109"/>
      <c r="G69" s="104"/>
      <c r="H69" s="109">
        <v>235391</v>
      </c>
      <c r="I69" s="104"/>
      <c r="J69" s="109"/>
      <c r="K69" s="104"/>
      <c r="L69" s="225"/>
    </row>
    <row r="70" spans="1:12" ht="38.25">
      <c r="A70" s="219" t="s">
        <v>60</v>
      </c>
      <c r="B70" s="201" t="s">
        <v>108</v>
      </c>
      <c r="C70" s="116">
        <f aca="true" t="shared" si="18" ref="C70:C84">SUM(D70:L70)</f>
        <v>1432730</v>
      </c>
      <c r="D70" s="58">
        <f>SUM(D71:D75)</f>
        <v>1464046</v>
      </c>
      <c r="E70" s="58">
        <f aca="true" t="shared" si="19" ref="E70:L70">SUM(E71:E75)</f>
        <v>-149314</v>
      </c>
      <c r="F70" s="58">
        <f t="shared" si="19"/>
        <v>110500</v>
      </c>
      <c r="G70" s="58">
        <f t="shared" si="19"/>
        <v>0</v>
      </c>
      <c r="H70" s="58">
        <f t="shared" si="19"/>
        <v>7170</v>
      </c>
      <c r="I70" s="58">
        <f t="shared" si="19"/>
        <v>0</v>
      </c>
      <c r="J70" s="58">
        <f t="shared" si="19"/>
        <v>0</v>
      </c>
      <c r="K70" s="58">
        <f t="shared" si="19"/>
        <v>0</v>
      </c>
      <c r="L70" s="60">
        <f t="shared" si="19"/>
        <v>328</v>
      </c>
    </row>
    <row r="71" spans="1:12" ht="12.75">
      <c r="A71" s="223" t="s">
        <v>82</v>
      </c>
      <c r="B71" s="195" t="s">
        <v>384</v>
      </c>
      <c r="C71" s="141">
        <f t="shared" si="18"/>
        <v>590078</v>
      </c>
      <c r="D71" s="44">
        <v>519584</v>
      </c>
      <c r="E71" s="41">
        <v>-40334</v>
      </c>
      <c r="F71" s="44">
        <v>110500</v>
      </c>
      <c r="G71" s="34"/>
      <c r="H71" s="111"/>
      <c r="I71" s="206"/>
      <c r="J71" s="35"/>
      <c r="K71" s="31"/>
      <c r="L71" s="36">
        <v>328</v>
      </c>
    </row>
    <row r="72" spans="1:12" ht="38.25">
      <c r="A72" s="217" t="s">
        <v>83</v>
      </c>
      <c r="B72" s="195" t="s">
        <v>109</v>
      </c>
      <c r="C72" s="141">
        <f t="shared" si="18"/>
        <v>495744</v>
      </c>
      <c r="D72" s="44">
        <v>597554</v>
      </c>
      <c r="E72" s="41">
        <v>-108980</v>
      </c>
      <c r="F72" s="35"/>
      <c r="G72" s="31"/>
      <c r="H72" s="35">
        <v>7170</v>
      </c>
      <c r="I72" s="31"/>
      <c r="J72" s="35"/>
      <c r="K72" s="31"/>
      <c r="L72" s="36"/>
    </row>
    <row r="73" spans="1:12" ht="25.5">
      <c r="A73" s="217" t="s">
        <v>87</v>
      </c>
      <c r="B73" s="195" t="s">
        <v>164</v>
      </c>
      <c r="C73" s="141">
        <f t="shared" si="18"/>
        <v>193306</v>
      </c>
      <c r="D73" s="44">
        <v>193306</v>
      </c>
      <c r="E73" s="41">
        <v>0</v>
      </c>
      <c r="F73" s="112"/>
      <c r="G73" s="113"/>
      <c r="H73" s="112"/>
      <c r="I73" s="113"/>
      <c r="J73" s="112"/>
      <c r="K73" s="113"/>
      <c r="L73" s="59"/>
    </row>
    <row r="74" spans="1:12" ht="25.5">
      <c r="A74" s="217" t="s">
        <v>92</v>
      </c>
      <c r="B74" s="195" t="s">
        <v>165</v>
      </c>
      <c r="C74" s="141">
        <f t="shared" si="18"/>
        <v>130000</v>
      </c>
      <c r="D74" s="44">
        <v>130000</v>
      </c>
      <c r="E74" s="41"/>
      <c r="F74" s="35"/>
      <c r="G74" s="31"/>
      <c r="H74" s="35"/>
      <c r="I74" s="31"/>
      <c r="J74" s="35"/>
      <c r="K74" s="31"/>
      <c r="L74" s="36"/>
    </row>
    <row r="75" spans="1:12" ht="27.75" customHeight="1">
      <c r="A75" s="217" t="s">
        <v>385</v>
      </c>
      <c r="B75" s="195" t="s">
        <v>386</v>
      </c>
      <c r="C75" s="141">
        <f t="shared" si="18"/>
        <v>23602</v>
      </c>
      <c r="D75" s="44">
        <v>23602</v>
      </c>
      <c r="E75" s="41"/>
      <c r="F75" s="35"/>
      <c r="G75" s="31"/>
      <c r="H75" s="35"/>
      <c r="I75" s="31"/>
      <c r="J75" s="35"/>
      <c r="K75" s="31"/>
      <c r="L75" s="36"/>
    </row>
    <row r="76" spans="1:12" s="147" customFormat="1" ht="12.75">
      <c r="A76" s="227" t="s">
        <v>185</v>
      </c>
      <c r="B76" s="198" t="s">
        <v>186</v>
      </c>
      <c r="C76" s="199">
        <f t="shared" si="18"/>
        <v>147661</v>
      </c>
      <c r="D76" s="199">
        <f>SUM(D77:D81)</f>
        <v>121268</v>
      </c>
      <c r="E76" s="199">
        <f aca="true" t="shared" si="20" ref="E76:L76">SUM(E77:E81)</f>
        <v>0</v>
      </c>
      <c r="F76" s="199">
        <f t="shared" si="20"/>
        <v>0</v>
      </c>
      <c r="G76" s="199">
        <f t="shared" si="20"/>
        <v>0</v>
      </c>
      <c r="H76" s="199">
        <f t="shared" si="20"/>
        <v>26150</v>
      </c>
      <c r="I76" s="199">
        <f t="shared" si="20"/>
        <v>0</v>
      </c>
      <c r="J76" s="199">
        <f t="shared" si="20"/>
        <v>0</v>
      </c>
      <c r="K76" s="199">
        <f t="shared" si="20"/>
        <v>0</v>
      </c>
      <c r="L76" s="222">
        <f t="shared" si="20"/>
        <v>243</v>
      </c>
    </row>
    <row r="77" spans="1:12" ht="12.75">
      <c r="A77" s="217" t="s">
        <v>207</v>
      </c>
      <c r="B77" s="195" t="s">
        <v>234</v>
      </c>
      <c r="C77" s="141">
        <f t="shared" si="18"/>
        <v>64700</v>
      </c>
      <c r="D77" s="35">
        <f>59700+5000</f>
        <v>64700</v>
      </c>
      <c r="E77" s="31"/>
      <c r="F77" s="35"/>
      <c r="G77" s="31"/>
      <c r="H77" s="35"/>
      <c r="I77" s="31"/>
      <c r="J77" s="35"/>
      <c r="K77" s="31"/>
      <c r="L77" s="36"/>
    </row>
    <row r="78" spans="1:12" ht="27" customHeight="1">
      <c r="A78" s="217" t="s">
        <v>208</v>
      </c>
      <c r="B78" s="195" t="s">
        <v>209</v>
      </c>
      <c r="C78" s="141">
        <f t="shared" si="18"/>
        <v>11000</v>
      </c>
      <c r="D78" s="35">
        <f>10000+1000</f>
        <v>11000</v>
      </c>
      <c r="E78" s="31"/>
      <c r="F78" s="35"/>
      <c r="G78" s="31"/>
      <c r="H78" s="35"/>
      <c r="I78" s="31"/>
      <c r="J78" s="35"/>
      <c r="K78" s="31"/>
      <c r="L78" s="36"/>
    </row>
    <row r="79" spans="1:12" ht="12.75">
      <c r="A79" s="217" t="s">
        <v>210</v>
      </c>
      <c r="B79" s="195" t="s">
        <v>211</v>
      </c>
      <c r="C79" s="141">
        <f t="shared" si="18"/>
        <v>27000</v>
      </c>
      <c r="D79" s="35">
        <f>20000+7000</f>
        <v>27000</v>
      </c>
      <c r="E79" s="31"/>
      <c r="F79" s="35"/>
      <c r="G79" s="31"/>
      <c r="H79" s="35"/>
      <c r="I79" s="31"/>
      <c r="J79" s="35"/>
      <c r="K79" s="31"/>
      <c r="L79" s="36"/>
    </row>
    <row r="80" spans="1:12" ht="12.75">
      <c r="A80" s="217" t="s">
        <v>189</v>
      </c>
      <c r="B80" s="195" t="s">
        <v>225</v>
      </c>
      <c r="C80" s="141">
        <f t="shared" si="18"/>
        <v>2210</v>
      </c>
      <c r="D80" s="35">
        <v>2210</v>
      </c>
      <c r="E80" s="31"/>
      <c r="F80" s="35"/>
      <c r="G80" s="31"/>
      <c r="H80" s="35"/>
      <c r="I80" s="31"/>
      <c r="J80" s="35"/>
      <c r="K80" s="31"/>
      <c r="L80" s="36"/>
    </row>
    <row r="81" spans="1:12" ht="25.5">
      <c r="A81" s="217" t="s">
        <v>387</v>
      </c>
      <c r="B81" s="195" t="s">
        <v>388</v>
      </c>
      <c r="C81" s="141">
        <f t="shared" si="18"/>
        <v>42751</v>
      </c>
      <c r="D81" s="35">
        <v>16358</v>
      </c>
      <c r="E81" s="31"/>
      <c r="F81" s="35"/>
      <c r="G81" s="31"/>
      <c r="H81" s="44">
        <v>26150</v>
      </c>
      <c r="I81" s="31"/>
      <c r="J81" s="35"/>
      <c r="K81" s="31"/>
      <c r="L81" s="36">
        <v>243</v>
      </c>
    </row>
    <row r="82" spans="1:12" s="147" customFormat="1" ht="13.5">
      <c r="A82" s="221" t="s">
        <v>43</v>
      </c>
      <c r="B82" s="198" t="s">
        <v>22</v>
      </c>
      <c r="C82" s="199">
        <f t="shared" si="18"/>
        <v>3590569</v>
      </c>
      <c r="D82" s="199">
        <f aca="true" t="shared" si="21" ref="D82:L82">D83+D87+D102+D103</f>
        <v>3295913</v>
      </c>
      <c r="E82" s="200">
        <f t="shared" si="21"/>
        <v>400</v>
      </c>
      <c r="F82" s="199">
        <f t="shared" si="21"/>
        <v>240945</v>
      </c>
      <c r="G82" s="200">
        <f t="shared" si="21"/>
        <v>0</v>
      </c>
      <c r="H82" s="199">
        <f t="shared" si="21"/>
        <v>39474</v>
      </c>
      <c r="I82" s="200">
        <f t="shared" si="21"/>
        <v>0</v>
      </c>
      <c r="J82" s="199">
        <f t="shared" si="21"/>
        <v>12500</v>
      </c>
      <c r="K82" s="200">
        <f t="shared" si="21"/>
        <v>0</v>
      </c>
      <c r="L82" s="222">
        <f t="shared" si="21"/>
        <v>1337</v>
      </c>
    </row>
    <row r="83" spans="1:12" ht="12.75">
      <c r="A83" s="219" t="s">
        <v>63</v>
      </c>
      <c r="B83" s="201" t="s">
        <v>64</v>
      </c>
      <c r="C83" s="116">
        <f t="shared" si="18"/>
        <v>723701</v>
      </c>
      <c r="D83" s="58">
        <f aca="true" t="shared" si="22" ref="D83:L83">D84+D85+D86</f>
        <v>696866</v>
      </c>
      <c r="E83" s="37">
        <f t="shared" si="22"/>
        <v>2500</v>
      </c>
      <c r="F83" s="58">
        <f t="shared" si="22"/>
        <v>24000</v>
      </c>
      <c r="G83" s="37">
        <f t="shared" si="22"/>
        <v>0</v>
      </c>
      <c r="H83" s="58">
        <f t="shared" si="22"/>
        <v>0</v>
      </c>
      <c r="I83" s="37">
        <f t="shared" si="22"/>
        <v>0</v>
      </c>
      <c r="J83" s="58">
        <f t="shared" si="22"/>
        <v>0</v>
      </c>
      <c r="K83" s="37">
        <f t="shared" si="22"/>
        <v>0</v>
      </c>
      <c r="L83" s="60">
        <f t="shared" si="22"/>
        <v>335</v>
      </c>
    </row>
    <row r="84" spans="1:12" ht="12.75">
      <c r="A84" s="217" t="s">
        <v>85</v>
      </c>
      <c r="B84" s="195" t="s">
        <v>439</v>
      </c>
      <c r="C84" s="141">
        <f t="shared" si="18"/>
        <v>320030</v>
      </c>
      <c r="D84" s="44">
        <v>295695</v>
      </c>
      <c r="E84" s="41">
        <v>0</v>
      </c>
      <c r="F84" s="44">
        <f>20000+4000</f>
        <v>24000</v>
      </c>
      <c r="G84" s="41"/>
      <c r="H84" s="35"/>
      <c r="I84" s="31"/>
      <c r="J84" s="35"/>
      <c r="K84" s="31"/>
      <c r="L84" s="36">
        <v>335</v>
      </c>
    </row>
    <row r="85" spans="1:12" ht="12.75">
      <c r="A85" s="217" t="s">
        <v>86</v>
      </c>
      <c r="B85" s="195" t="s">
        <v>166</v>
      </c>
      <c r="C85" s="115">
        <f>SUM(D85:L85)</f>
        <v>400171</v>
      </c>
      <c r="D85" s="44">
        <v>397671</v>
      </c>
      <c r="E85" s="41">
        <v>2500</v>
      </c>
      <c r="F85" s="44"/>
      <c r="G85" s="41"/>
      <c r="H85" s="35"/>
      <c r="I85" s="31"/>
      <c r="J85" s="35"/>
      <c r="K85" s="31"/>
      <c r="L85" s="36"/>
    </row>
    <row r="86" spans="1:12" ht="25.5">
      <c r="A86" s="217" t="s">
        <v>226</v>
      </c>
      <c r="B86" s="195" t="s">
        <v>321</v>
      </c>
      <c r="C86" s="115">
        <f>SUM(D86:L86)</f>
        <v>3500</v>
      </c>
      <c r="D86" s="35">
        <v>3500</v>
      </c>
      <c r="E86" s="114"/>
      <c r="F86" s="114"/>
      <c r="G86" s="31"/>
      <c r="H86" s="115"/>
      <c r="I86" s="31"/>
      <c r="J86" s="35"/>
      <c r="K86" s="31"/>
      <c r="L86" s="36"/>
    </row>
    <row r="87" spans="1:12" ht="12.75">
      <c r="A87" s="219" t="s">
        <v>65</v>
      </c>
      <c r="B87" s="201" t="s">
        <v>66</v>
      </c>
      <c r="C87" s="116">
        <f aca="true" t="shared" si="23" ref="C87:C98">SUM(D87:L87)</f>
        <v>2473579</v>
      </c>
      <c r="D87" s="58">
        <f aca="true" t="shared" si="24" ref="D87:L87">D88+D89+D91+D94+D98</f>
        <v>2212158</v>
      </c>
      <c r="E87" s="37">
        <f t="shared" si="24"/>
        <v>0</v>
      </c>
      <c r="F87" s="58">
        <f t="shared" si="24"/>
        <v>208445</v>
      </c>
      <c r="G87" s="37">
        <f t="shared" si="24"/>
        <v>0</v>
      </c>
      <c r="H87" s="58">
        <f t="shared" si="24"/>
        <v>39474</v>
      </c>
      <c r="I87" s="37">
        <f t="shared" si="24"/>
        <v>0</v>
      </c>
      <c r="J87" s="58">
        <f t="shared" si="24"/>
        <v>12500</v>
      </c>
      <c r="K87" s="37">
        <f t="shared" si="24"/>
        <v>0</v>
      </c>
      <c r="L87" s="60">
        <f t="shared" si="24"/>
        <v>1002</v>
      </c>
    </row>
    <row r="88" spans="1:12" ht="12.75">
      <c r="A88" s="217" t="s">
        <v>67</v>
      </c>
      <c r="B88" s="195" t="s">
        <v>463</v>
      </c>
      <c r="C88" s="116">
        <f t="shared" si="23"/>
        <v>483765</v>
      </c>
      <c r="D88" s="58">
        <f>401327+55000+9000</f>
        <v>465327</v>
      </c>
      <c r="E88" s="104"/>
      <c r="F88" s="58">
        <v>5705</v>
      </c>
      <c r="G88" s="104">
        <v>0</v>
      </c>
      <c r="H88" s="109"/>
      <c r="I88" s="37"/>
      <c r="J88" s="58">
        <f>12412+88</f>
        <v>12500</v>
      </c>
      <c r="K88" s="37"/>
      <c r="L88" s="60">
        <v>233</v>
      </c>
    </row>
    <row r="89" spans="1:12" ht="12.75">
      <c r="A89" s="219" t="s">
        <v>68</v>
      </c>
      <c r="B89" s="201" t="s">
        <v>389</v>
      </c>
      <c r="C89" s="116">
        <f t="shared" si="23"/>
        <v>263060</v>
      </c>
      <c r="D89" s="58">
        <f aca="true" t="shared" si="25" ref="D89:L89">SUM(D90:D90)</f>
        <v>257199</v>
      </c>
      <c r="E89" s="37">
        <f t="shared" si="25"/>
        <v>0</v>
      </c>
      <c r="F89" s="58">
        <f t="shared" si="25"/>
        <v>5200</v>
      </c>
      <c r="G89" s="37">
        <f t="shared" si="25"/>
        <v>0</v>
      </c>
      <c r="H89" s="58">
        <f t="shared" si="25"/>
        <v>580</v>
      </c>
      <c r="I89" s="37">
        <f t="shared" si="25"/>
        <v>0</v>
      </c>
      <c r="J89" s="58">
        <f t="shared" si="25"/>
        <v>0</v>
      </c>
      <c r="K89" s="37">
        <f t="shared" si="25"/>
        <v>0</v>
      </c>
      <c r="L89" s="60">
        <f t="shared" si="25"/>
        <v>81</v>
      </c>
    </row>
    <row r="90" spans="1:12" ht="25.5">
      <c r="A90" s="217" t="s">
        <v>111</v>
      </c>
      <c r="B90" s="195" t="s">
        <v>440</v>
      </c>
      <c r="C90" s="115">
        <f t="shared" si="23"/>
        <v>263060</v>
      </c>
      <c r="D90" s="35">
        <v>257199</v>
      </c>
      <c r="E90" s="113"/>
      <c r="F90" s="35">
        <v>5200</v>
      </c>
      <c r="G90" s="31"/>
      <c r="H90" s="35">
        <v>580</v>
      </c>
      <c r="I90" s="31"/>
      <c r="J90" s="35"/>
      <c r="K90" s="31"/>
      <c r="L90" s="36">
        <v>81</v>
      </c>
    </row>
    <row r="91" spans="1:12" ht="12.75">
      <c r="A91" s="219" t="s">
        <v>69</v>
      </c>
      <c r="B91" s="201" t="s">
        <v>322</v>
      </c>
      <c r="C91" s="116">
        <f t="shared" si="23"/>
        <v>1263398</v>
      </c>
      <c r="D91" s="109">
        <f>SUM(D92:D93)</f>
        <v>1039683</v>
      </c>
      <c r="E91" s="104">
        <f aca="true" t="shared" si="26" ref="E91:L91">SUM(E92:E93)</f>
        <v>0</v>
      </c>
      <c r="F91" s="109">
        <f t="shared" si="26"/>
        <v>197540</v>
      </c>
      <c r="G91" s="104">
        <f t="shared" si="26"/>
        <v>0</v>
      </c>
      <c r="H91" s="109">
        <f t="shared" si="26"/>
        <v>26100</v>
      </c>
      <c r="I91" s="104">
        <f t="shared" si="26"/>
        <v>0</v>
      </c>
      <c r="J91" s="109">
        <f t="shared" si="26"/>
        <v>0</v>
      </c>
      <c r="K91" s="104">
        <f t="shared" si="26"/>
        <v>0</v>
      </c>
      <c r="L91" s="225">
        <f t="shared" si="26"/>
        <v>75</v>
      </c>
    </row>
    <row r="92" spans="1:12" ht="12.75">
      <c r="A92" s="217" t="s">
        <v>323</v>
      </c>
      <c r="B92" s="195" t="s">
        <v>390</v>
      </c>
      <c r="C92" s="141">
        <f>SUM(D92:L92)</f>
        <v>841663</v>
      </c>
      <c r="D92" s="110">
        <v>754588</v>
      </c>
      <c r="E92" s="42">
        <v>0</v>
      </c>
      <c r="F92" s="110">
        <v>87000</v>
      </c>
      <c r="G92" s="42"/>
      <c r="H92" s="110"/>
      <c r="I92" s="42"/>
      <c r="J92" s="110"/>
      <c r="K92" s="42"/>
      <c r="L92" s="228">
        <v>75</v>
      </c>
    </row>
    <row r="93" spans="1:12" ht="12.75">
      <c r="A93" s="217" t="s">
        <v>324</v>
      </c>
      <c r="B93" s="195" t="s">
        <v>391</v>
      </c>
      <c r="C93" s="141">
        <f>SUM(D93:L93)</f>
        <v>421735</v>
      </c>
      <c r="D93" s="110">
        <v>285095</v>
      </c>
      <c r="E93" s="42">
        <v>0</v>
      </c>
      <c r="F93" s="110">
        <v>110540</v>
      </c>
      <c r="G93" s="42"/>
      <c r="H93" s="110">
        <v>26100</v>
      </c>
      <c r="I93" s="42"/>
      <c r="J93" s="110"/>
      <c r="K93" s="42"/>
      <c r="L93" s="228"/>
    </row>
    <row r="94" spans="1:12" ht="12.75">
      <c r="A94" s="219" t="s">
        <v>70</v>
      </c>
      <c r="B94" s="201" t="s">
        <v>117</v>
      </c>
      <c r="C94" s="116">
        <f t="shared" si="23"/>
        <v>81845</v>
      </c>
      <c r="D94" s="109">
        <f>SUM(D95:D97)</f>
        <v>80545</v>
      </c>
      <c r="E94" s="104">
        <f aca="true" t="shared" si="27" ref="E94:L94">SUM(E95:E97)</f>
        <v>0</v>
      </c>
      <c r="F94" s="109">
        <f t="shared" si="27"/>
        <v>0</v>
      </c>
      <c r="G94" s="104">
        <f t="shared" si="27"/>
        <v>0</v>
      </c>
      <c r="H94" s="109">
        <f t="shared" si="27"/>
        <v>1300</v>
      </c>
      <c r="I94" s="104">
        <f t="shared" si="27"/>
        <v>0</v>
      </c>
      <c r="J94" s="109">
        <f t="shared" si="27"/>
        <v>0</v>
      </c>
      <c r="K94" s="104">
        <f t="shared" si="27"/>
        <v>0</v>
      </c>
      <c r="L94" s="225">
        <f t="shared" si="27"/>
        <v>0</v>
      </c>
    </row>
    <row r="95" spans="1:12" ht="12.75">
      <c r="A95" s="217" t="s">
        <v>325</v>
      </c>
      <c r="B95" s="195" t="s">
        <v>327</v>
      </c>
      <c r="C95" s="141">
        <f>SUM(D95:L95)</f>
        <v>40925</v>
      </c>
      <c r="D95" s="110">
        <v>39625</v>
      </c>
      <c r="E95" s="42"/>
      <c r="F95" s="110"/>
      <c r="G95" s="42"/>
      <c r="H95" s="110">
        <f>600+700</f>
        <v>1300</v>
      </c>
      <c r="I95" s="42"/>
      <c r="J95" s="110"/>
      <c r="K95" s="42"/>
      <c r="L95" s="228"/>
    </row>
    <row r="96" spans="1:12" ht="12.75">
      <c r="A96" s="217" t="s">
        <v>392</v>
      </c>
      <c r="B96" s="195" t="s">
        <v>393</v>
      </c>
      <c r="C96" s="141">
        <f>SUM(D96:L96)</f>
        <v>28505</v>
      </c>
      <c r="D96" s="110">
        <v>28505</v>
      </c>
      <c r="E96" s="42"/>
      <c r="F96" s="110"/>
      <c r="G96" s="42"/>
      <c r="H96" s="110"/>
      <c r="I96" s="42"/>
      <c r="J96" s="110"/>
      <c r="K96" s="42"/>
      <c r="L96" s="228"/>
    </row>
    <row r="97" spans="1:12" ht="25.5">
      <c r="A97" s="217" t="s">
        <v>326</v>
      </c>
      <c r="B97" s="195" t="s">
        <v>328</v>
      </c>
      <c r="C97" s="141">
        <f>SUM(D97:L97)</f>
        <v>12415</v>
      </c>
      <c r="D97" s="110">
        <v>12415</v>
      </c>
      <c r="E97" s="42"/>
      <c r="F97" s="110"/>
      <c r="G97" s="42"/>
      <c r="H97" s="110"/>
      <c r="I97" s="42"/>
      <c r="J97" s="110"/>
      <c r="K97" s="42"/>
      <c r="L97" s="228"/>
    </row>
    <row r="98" spans="1:12" ht="12.75">
      <c r="A98" s="219" t="s">
        <v>71</v>
      </c>
      <c r="B98" s="201" t="s">
        <v>171</v>
      </c>
      <c r="C98" s="116">
        <f t="shared" si="23"/>
        <v>381511</v>
      </c>
      <c r="D98" s="58">
        <f>D99+D100+D101</f>
        <v>369404</v>
      </c>
      <c r="E98" s="37">
        <f>SUM(E99:E101)</f>
        <v>0</v>
      </c>
      <c r="F98" s="58">
        <f>SUM(F99:F101)</f>
        <v>0</v>
      </c>
      <c r="G98" s="37">
        <f>SUM(G99:G101)</f>
        <v>0</v>
      </c>
      <c r="H98" s="58">
        <f>SUM(H99:H101)</f>
        <v>11494</v>
      </c>
      <c r="I98" s="37">
        <f>I99+I100+I101</f>
        <v>0</v>
      </c>
      <c r="J98" s="58">
        <f>J99+J100+J101</f>
        <v>0</v>
      </c>
      <c r="K98" s="37">
        <f>K99+K100+K101</f>
        <v>0</v>
      </c>
      <c r="L98" s="60">
        <f>L99+L100+L101</f>
        <v>613</v>
      </c>
    </row>
    <row r="99" spans="1:12" ht="12.75">
      <c r="A99" s="217" t="s">
        <v>94</v>
      </c>
      <c r="B99" s="195" t="s">
        <v>167</v>
      </c>
      <c r="C99" s="141">
        <f>SUM(D99:L99)</f>
        <v>190007</v>
      </c>
      <c r="D99" s="35">
        <v>177900</v>
      </c>
      <c r="E99" s="31"/>
      <c r="F99" s="35"/>
      <c r="G99" s="31"/>
      <c r="H99" s="35">
        <v>11494</v>
      </c>
      <c r="I99" s="31"/>
      <c r="J99" s="35"/>
      <c r="K99" s="31"/>
      <c r="L99" s="36">
        <v>613</v>
      </c>
    </row>
    <row r="100" spans="1:12" ht="12.75">
      <c r="A100" s="217" t="s">
        <v>95</v>
      </c>
      <c r="B100" s="195" t="s">
        <v>168</v>
      </c>
      <c r="C100" s="141">
        <f>SUM(D100:L100)</f>
        <v>191504</v>
      </c>
      <c r="D100" s="35">
        <f>188304+200+3000</f>
        <v>191504</v>
      </c>
      <c r="E100" s="41"/>
      <c r="F100" s="35"/>
      <c r="G100" s="31"/>
      <c r="H100" s="35"/>
      <c r="I100" s="31"/>
      <c r="J100" s="35"/>
      <c r="K100" s="31"/>
      <c r="L100" s="36"/>
    </row>
    <row r="101" spans="1:12" ht="51" hidden="1">
      <c r="A101" s="217" t="s">
        <v>257</v>
      </c>
      <c r="B101" s="195" t="s">
        <v>258</v>
      </c>
      <c r="C101" s="141">
        <f>SUM(D101:L101)</f>
        <v>0</v>
      </c>
      <c r="D101" s="35"/>
      <c r="E101" s="41"/>
      <c r="F101" s="35"/>
      <c r="G101" s="31"/>
      <c r="H101" s="35"/>
      <c r="I101" s="31"/>
      <c r="J101" s="35"/>
      <c r="K101" s="31"/>
      <c r="L101" s="36"/>
    </row>
    <row r="102" spans="1:12" ht="13.5">
      <c r="A102" s="219" t="s">
        <v>93</v>
      </c>
      <c r="B102" s="207" t="s">
        <v>441</v>
      </c>
      <c r="C102" s="116">
        <f>SUM(D102:L102)</f>
        <v>237510</v>
      </c>
      <c r="D102" s="58">
        <v>229010</v>
      </c>
      <c r="E102" s="37"/>
      <c r="F102" s="58">
        <v>8500</v>
      </c>
      <c r="G102" s="37">
        <v>0</v>
      </c>
      <c r="H102" s="58"/>
      <c r="I102" s="37"/>
      <c r="J102" s="58"/>
      <c r="K102" s="37"/>
      <c r="L102" s="60"/>
    </row>
    <row r="103" spans="1:12" ht="25.5">
      <c r="A103" s="219" t="s">
        <v>72</v>
      </c>
      <c r="B103" s="197" t="s">
        <v>239</v>
      </c>
      <c r="C103" s="116">
        <f aca="true" t="shared" si="28" ref="C103:L103">SUM(C104:C107)</f>
        <v>155779</v>
      </c>
      <c r="D103" s="116">
        <f t="shared" si="28"/>
        <v>157879</v>
      </c>
      <c r="E103" s="117">
        <f t="shared" si="28"/>
        <v>-2100</v>
      </c>
      <c r="F103" s="116">
        <f t="shared" si="28"/>
        <v>0</v>
      </c>
      <c r="G103" s="117">
        <f t="shared" si="28"/>
        <v>0</v>
      </c>
      <c r="H103" s="116">
        <f t="shared" si="28"/>
        <v>0</v>
      </c>
      <c r="I103" s="117">
        <f t="shared" si="28"/>
        <v>0</v>
      </c>
      <c r="J103" s="116">
        <f t="shared" si="28"/>
        <v>0</v>
      </c>
      <c r="K103" s="117">
        <f t="shared" si="28"/>
        <v>0</v>
      </c>
      <c r="L103" s="229">
        <f t="shared" si="28"/>
        <v>0</v>
      </c>
    </row>
    <row r="104" spans="1:12" ht="12.75">
      <c r="A104" s="217" t="s">
        <v>240</v>
      </c>
      <c r="B104" s="195" t="s">
        <v>329</v>
      </c>
      <c r="C104" s="141">
        <f aca="true" t="shared" si="29" ref="C104:C114">SUM(D104:L104)</f>
        <v>30000</v>
      </c>
      <c r="D104" s="44">
        <v>30000</v>
      </c>
      <c r="E104" s="42"/>
      <c r="F104" s="35"/>
      <c r="G104" s="31"/>
      <c r="H104" s="35"/>
      <c r="I104" s="41"/>
      <c r="J104" s="35"/>
      <c r="K104" s="31"/>
      <c r="L104" s="36"/>
    </row>
    <row r="105" spans="1:12" ht="12.75">
      <c r="A105" s="217" t="s">
        <v>254</v>
      </c>
      <c r="B105" s="195" t="s">
        <v>255</v>
      </c>
      <c r="C105" s="141">
        <f t="shared" si="29"/>
        <v>7000</v>
      </c>
      <c r="D105" s="44">
        <v>7000</v>
      </c>
      <c r="E105" s="42"/>
      <c r="F105" s="35"/>
      <c r="G105" s="31"/>
      <c r="H105" s="35"/>
      <c r="I105" s="41"/>
      <c r="J105" s="35"/>
      <c r="K105" s="31"/>
      <c r="L105" s="36"/>
    </row>
    <row r="106" spans="1:12" ht="25.5">
      <c r="A106" s="217" t="s">
        <v>252</v>
      </c>
      <c r="B106" s="195" t="s">
        <v>253</v>
      </c>
      <c r="C106" s="141">
        <f t="shared" si="29"/>
        <v>3000</v>
      </c>
      <c r="D106" s="44">
        <v>3000</v>
      </c>
      <c r="E106" s="42"/>
      <c r="F106" s="35"/>
      <c r="G106" s="31"/>
      <c r="H106" s="35"/>
      <c r="I106" s="41"/>
      <c r="J106" s="35"/>
      <c r="K106" s="31"/>
      <c r="L106" s="36"/>
    </row>
    <row r="107" spans="1:12" ht="25.5">
      <c r="A107" s="217" t="s">
        <v>251</v>
      </c>
      <c r="B107" s="195" t="s">
        <v>464</v>
      </c>
      <c r="C107" s="141">
        <f t="shared" si="29"/>
        <v>115779</v>
      </c>
      <c r="D107" s="44">
        <v>117879</v>
      </c>
      <c r="E107" s="42">
        <v>-2100</v>
      </c>
      <c r="F107" s="35"/>
      <c r="G107" s="31"/>
      <c r="H107" s="35"/>
      <c r="I107" s="42"/>
      <c r="J107" s="35"/>
      <c r="K107" s="31"/>
      <c r="L107" s="36"/>
    </row>
    <row r="108" spans="1:12" s="147" customFormat="1" ht="13.5">
      <c r="A108" s="221" t="s">
        <v>44</v>
      </c>
      <c r="B108" s="198" t="s">
        <v>23</v>
      </c>
      <c r="C108" s="199">
        <f t="shared" si="29"/>
        <v>17775890</v>
      </c>
      <c r="D108" s="199">
        <f aca="true" t="shared" si="30" ref="D108:L108">D109+D116+D126+D131+D134+D137</f>
        <v>8837284</v>
      </c>
      <c r="E108" s="200">
        <f t="shared" si="30"/>
        <v>0</v>
      </c>
      <c r="F108" s="199">
        <f t="shared" si="30"/>
        <v>368474</v>
      </c>
      <c r="G108" s="200">
        <f t="shared" si="30"/>
        <v>0</v>
      </c>
      <c r="H108" s="199">
        <f t="shared" si="30"/>
        <v>8017263</v>
      </c>
      <c r="I108" s="200">
        <f t="shared" si="30"/>
        <v>0</v>
      </c>
      <c r="J108" s="199">
        <f t="shared" si="30"/>
        <v>136250</v>
      </c>
      <c r="K108" s="200">
        <f t="shared" si="30"/>
        <v>0</v>
      </c>
      <c r="L108" s="222">
        <f t="shared" si="30"/>
        <v>416619</v>
      </c>
    </row>
    <row r="109" spans="1:12" ht="12.75">
      <c r="A109" s="219" t="s">
        <v>114</v>
      </c>
      <c r="B109" s="197" t="s">
        <v>330</v>
      </c>
      <c r="C109" s="116">
        <f t="shared" si="29"/>
        <v>4617425</v>
      </c>
      <c r="D109" s="58">
        <f>SUM(D110:D115)</f>
        <v>3220546</v>
      </c>
      <c r="E109" s="58">
        <f aca="true" t="shared" si="31" ref="E109:L109">SUM(E110:E115)</f>
        <v>0</v>
      </c>
      <c r="F109" s="58">
        <f t="shared" si="31"/>
        <v>46299</v>
      </c>
      <c r="G109" s="58">
        <f t="shared" si="31"/>
        <v>0</v>
      </c>
      <c r="H109" s="58">
        <f t="shared" si="31"/>
        <v>1275728</v>
      </c>
      <c r="I109" s="58">
        <f t="shared" si="31"/>
        <v>0</v>
      </c>
      <c r="J109" s="58">
        <f t="shared" si="31"/>
        <v>60000</v>
      </c>
      <c r="K109" s="58">
        <f t="shared" si="31"/>
        <v>0</v>
      </c>
      <c r="L109" s="60">
        <f t="shared" si="31"/>
        <v>14852</v>
      </c>
    </row>
    <row r="110" spans="1:12" ht="12.75">
      <c r="A110" s="217" t="s">
        <v>212</v>
      </c>
      <c r="B110" s="195" t="s">
        <v>351</v>
      </c>
      <c r="C110" s="141">
        <f t="shared" si="29"/>
        <v>3317146</v>
      </c>
      <c r="D110" s="35">
        <v>2761988</v>
      </c>
      <c r="E110" s="41">
        <v>-81</v>
      </c>
      <c r="F110" s="35">
        <f>18880+26339+1080</f>
        <v>46299</v>
      </c>
      <c r="G110" s="41"/>
      <c r="H110" s="35">
        <v>434088</v>
      </c>
      <c r="I110" s="41">
        <v>0</v>
      </c>
      <c r="J110" s="35">
        <v>60000</v>
      </c>
      <c r="K110" s="31"/>
      <c r="L110" s="36">
        <v>14852</v>
      </c>
    </row>
    <row r="111" spans="1:12" ht="25.5">
      <c r="A111" s="217" t="s">
        <v>394</v>
      </c>
      <c r="B111" s="195" t="s">
        <v>395</v>
      </c>
      <c r="C111" s="141">
        <f t="shared" si="29"/>
        <v>0</v>
      </c>
      <c r="D111" s="35">
        <v>0</v>
      </c>
      <c r="E111" s="41"/>
      <c r="F111" s="35"/>
      <c r="G111" s="41"/>
      <c r="H111" s="35"/>
      <c r="I111" s="41"/>
      <c r="J111" s="35"/>
      <c r="K111" s="31"/>
      <c r="L111" s="36"/>
    </row>
    <row r="112" spans="1:12" ht="25.5">
      <c r="A112" s="217" t="s">
        <v>465</v>
      </c>
      <c r="B112" s="195" t="s">
        <v>466</v>
      </c>
      <c r="C112" s="141">
        <f>SUM(D112:L112)</f>
        <v>10081</v>
      </c>
      <c r="D112" s="35">
        <v>10000</v>
      </c>
      <c r="E112" s="41">
        <v>81</v>
      </c>
      <c r="F112" s="35"/>
      <c r="G112" s="41"/>
      <c r="H112" s="35"/>
      <c r="I112" s="41"/>
      <c r="J112" s="35"/>
      <c r="K112" s="31"/>
      <c r="L112" s="36"/>
    </row>
    <row r="113" spans="1:12" ht="38.25">
      <c r="A113" s="217" t="s">
        <v>442</v>
      </c>
      <c r="B113" s="195" t="s">
        <v>443</v>
      </c>
      <c r="C113" s="141">
        <f t="shared" si="29"/>
        <v>219508</v>
      </c>
      <c r="D113" s="35">
        <v>167158</v>
      </c>
      <c r="E113" s="41"/>
      <c r="F113" s="35"/>
      <c r="G113" s="41"/>
      <c r="H113" s="35">
        <v>52350</v>
      </c>
      <c r="I113" s="41"/>
      <c r="J113" s="35"/>
      <c r="K113" s="31"/>
      <c r="L113" s="36"/>
    </row>
    <row r="114" spans="1:12" ht="25.5">
      <c r="A114" s="217" t="s">
        <v>428</v>
      </c>
      <c r="B114" s="195" t="s">
        <v>429</v>
      </c>
      <c r="C114" s="141">
        <f t="shared" si="29"/>
        <v>81400</v>
      </c>
      <c r="D114" s="35">
        <v>81400</v>
      </c>
      <c r="E114" s="41"/>
      <c r="F114" s="35"/>
      <c r="G114" s="41"/>
      <c r="H114" s="35"/>
      <c r="I114" s="41"/>
      <c r="J114" s="35"/>
      <c r="K114" s="31"/>
      <c r="L114" s="36"/>
    </row>
    <row r="115" spans="1:12" ht="25.5">
      <c r="A115" s="217" t="s">
        <v>451</v>
      </c>
      <c r="B115" s="195" t="s">
        <v>453</v>
      </c>
      <c r="C115" s="141">
        <f>SUM(D115:L115)</f>
        <v>989290</v>
      </c>
      <c r="D115" s="35">
        <v>200000</v>
      </c>
      <c r="E115" s="41"/>
      <c r="F115" s="35"/>
      <c r="G115" s="41"/>
      <c r="H115" s="35">
        <v>789290</v>
      </c>
      <c r="I115" s="41"/>
      <c r="J115" s="35"/>
      <c r="K115" s="31"/>
      <c r="L115" s="36"/>
    </row>
    <row r="116" spans="1:12" ht="25.5">
      <c r="A116" s="230" t="s">
        <v>118</v>
      </c>
      <c r="B116" s="197" t="s">
        <v>119</v>
      </c>
      <c r="C116" s="116">
        <f>D116+E116+F116+G116+H116+I116+J116+K116+L116</f>
        <v>9998199</v>
      </c>
      <c r="D116" s="58">
        <f aca="true" t="shared" si="32" ref="D116:L116">D117+D121</f>
        <v>3491700</v>
      </c>
      <c r="E116" s="37">
        <f t="shared" si="32"/>
        <v>0</v>
      </c>
      <c r="F116" s="58">
        <f t="shared" si="32"/>
        <v>108145</v>
      </c>
      <c r="G116" s="37">
        <f t="shared" si="32"/>
        <v>0</v>
      </c>
      <c r="H116" s="58">
        <f t="shared" si="32"/>
        <v>6054595</v>
      </c>
      <c r="I116" s="37">
        <f t="shared" si="32"/>
        <v>0</v>
      </c>
      <c r="J116" s="58">
        <f t="shared" si="32"/>
        <v>76100</v>
      </c>
      <c r="K116" s="37">
        <f t="shared" si="32"/>
        <v>0</v>
      </c>
      <c r="L116" s="60">
        <f t="shared" si="32"/>
        <v>267659</v>
      </c>
    </row>
    <row r="117" spans="1:12" ht="12.75">
      <c r="A117" s="231" t="s">
        <v>396</v>
      </c>
      <c r="B117" s="183" t="s">
        <v>397</v>
      </c>
      <c r="C117" s="116">
        <f>D117+E117+F117+G117+H117+I117+J117+K117+L117</f>
        <v>9111254</v>
      </c>
      <c r="D117" s="58">
        <f>SUM(D118:D120)</f>
        <v>3174998</v>
      </c>
      <c r="E117" s="58">
        <f aca="true" t="shared" si="33" ref="E117:L117">SUM(E118:E120)</f>
        <v>0</v>
      </c>
      <c r="F117" s="58">
        <f t="shared" si="33"/>
        <v>90969</v>
      </c>
      <c r="G117" s="58">
        <f t="shared" si="33"/>
        <v>0</v>
      </c>
      <c r="H117" s="58">
        <f t="shared" si="33"/>
        <v>5543034</v>
      </c>
      <c r="I117" s="58">
        <f t="shared" si="33"/>
        <v>0</v>
      </c>
      <c r="J117" s="58">
        <f t="shared" si="33"/>
        <v>70000</v>
      </c>
      <c r="K117" s="58">
        <f t="shared" si="33"/>
        <v>0</v>
      </c>
      <c r="L117" s="60">
        <f t="shared" si="33"/>
        <v>232253</v>
      </c>
    </row>
    <row r="118" spans="1:12" ht="12.75">
      <c r="A118" s="217" t="s">
        <v>333</v>
      </c>
      <c r="B118" s="195" t="s">
        <v>331</v>
      </c>
      <c r="C118" s="115">
        <f aca="true" t="shared" si="34" ref="C118:C142">SUM(D118:L118)</f>
        <v>7729527</v>
      </c>
      <c r="D118" s="35">
        <v>3065695</v>
      </c>
      <c r="E118" s="41">
        <v>0</v>
      </c>
      <c r="F118" s="44">
        <f>47250+2800+3000+9590</f>
        <v>62640</v>
      </c>
      <c r="G118" s="41"/>
      <c r="H118" s="110">
        <v>4391120</v>
      </c>
      <c r="I118" s="41">
        <v>0</v>
      </c>
      <c r="J118" s="35">
        <v>70000</v>
      </c>
      <c r="K118" s="31">
        <v>0</v>
      </c>
      <c r="L118" s="36">
        <v>140072</v>
      </c>
    </row>
    <row r="119" spans="1:12" ht="25.5">
      <c r="A119" s="217" t="s">
        <v>334</v>
      </c>
      <c r="B119" s="208" t="s">
        <v>467</v>
      </c>
      <c r="C119" s="115">
        <f t="shared" si="34"/>
        <v>1287326</v>
      </c>
      <c r="D119" s="35">
        <v>109303</v>
      </c>
      <c r="E119" s="41"/>
      <c r="F119" s="44">
        <f>4690+280</f>
        <v>4970</v>
      </c>
      <c r="G119" s="41"/>
      <c r="H119" s="35">
        <v>1119444</v>
      </c>
      <c r="I119" s="41">
        <v>0</v>
      </c>
      <c r="J119" s="142"/>
      <c r="K119" s="31"/>
      <c r="L119" s="36">
        <v>53609</v>
      </c>
    </row>
    <row r="120" spans="1:12" ht="25.5">
      <c r="A120" s="217" t="s">
        <v>398</v>
      </c>
      <c r="B120" s="208" t="s">
        <v>468</v>
      </c>
      <c r="C120" s="115">
        <f t="shared" si="34"/>
        <v>94401</v>
      </c>
      <c r="D120" s="35"/>
      <c r="E120" s="41"/>
      <c r="F120" s="44">
        <f>3075+18267+2017</f>
        <v>23359</v>
      </c>
      <c r="G120" s="41"/>
      <c r="H120" s="35">
        <v>32470</v>
      </c>
      <c r="I120" s="41">
        <v>0</v>
      </c>
      <c r="J120" s="142"/>
      <c r="K120" s="31"/>
      <c r="L120" s="36">
        <v>38572</v>
      </c>
    </row>
    <row r="121" spans="1:12" ht="12.75">
      <c r="A121" s="231" t="s">
        <v>400</v>
      </c>
      <c r="B121" s="183" t="s">
        <v>399</v>
      </c>
      <c r="C121" s="116">
        <f>SUM(D121:L121)</f>
        <v>886945</v>
      </c>
      <c r="D121" s="116">
        <f>SUM(D122:D125)</f>
        <v>316702</v>
      </c>
      <c r="E121" s="117">
        <f aca="true" t="shared" si="35" ref="E121:L121">SUM(E122:E125)</f>
        <v>0</v>
      </c>
      <c r="F121" s="116">
        <f t="shared" si="35"/>
        <v>17176</v>
      </c>
      <c r="G121" s="117">
        <f t="shared" si="35"/>
        <v>0</v>
      </c>
      <c r="H121" s="116">
        <f t="shared" si="35"/>
        <v>511561</v>
      </c>
      <c r="I121" s="117">
        <f t="shared" si="35"/>
        <v>0</v>
      </c>
      <c r="J121" s="116">
        <f t="shared" si="35"/>
        <v>6100</v>
      </c>
      <c r="K121" s="117">
        <f t="shared" si="35"/>
        <v>0</v>
      </c>
      <c r="L121" s="229">
        <f t="shared" si="35"/>
        <v>35406</v>
      </c>
    </row>
    <row r="122" spans="1:12" ht="12.75">
      <c r="A122" s="217" t="s">
        <v>332</v>
      </c>
      <c r="B122" s="209" t="s">
        <v>469</v>
      </c>
      <c r="C122" s="115">
        <f t="shared" si="34"/>
        <v>673598</v>
      </c>
      <c r="D122" s="44">
        <v>316702</v>
      </c>
      <c r="E122" s="41"/>
      <c r="F122" s="44">
        <f>23250-3000-9900</f>
        <v>10350</v>
      </c>
      <c r="G122" s="42"/>
      <c r="H122" s="44">
        <v>317780</v>
      </c>
      <c r="I122" s="42">
        <v>0</v>
      </c>
      <c r="J122" s="210">
        <v>6100</v>
      </c>
      <c r="K122" s="42"/>
      <c r="L122" s="36">
        <v>22666</v>
      </c>
    </row>
    <row r="123" spans="1:12" ht="25.5">
      <c r="A123" s="217" t="s">
        <v>335</v>
      </c>
      <c r="B123" s="195" t="s">
        <v>470</v>
      </c>
      <c r="C123" s="115">
        <f t="shared" si="34"/>
        <v>213347</v>
      </c>
      <c r="D123" s="44"/>
      <c r="E123" s="41"/>
      <c r="F123" s="44">
        <v>6826</v>
      </c>
      <c r="G123" s="42">
        <v>0</v>
      </c>
      <c r="H123" s="44">
        <v>193781</v>
      </c>
      <c r="I123" s="42">
        <v>0</v>
      </c>
      <c r="J123" s="210"/>
      <c r="K123" s="42"/>
      <c r="L123" s="36">
        <v>12740</v>
      </c>
    </row>
    <row r="124" spans="1:12" ht="38.25" hidden="1">
      <c r="A124" s="217" t="s">
        <v>337</v>
      </c>
      <c r="B124" s="195" t="s">
        <v>352</v>
      </c>
      <c r="C124" s="115">
        <f>SUM(D124:L124)</f>
        <v>0</v>
      </c>
      <c r="D124" s="44">
        <v>0</v>
      </c>
      <c r="E124" s="42"/>
      <c r="F124" s="44"/>
      <c r="G124" s="42"/>
      <c r="H124" s="44"/>
      <c r="I124" s="42"/>
      <c r="J124" s="44"/>
      <c r="K124" s="41"/>
      <c r="L124" s="36"/>
    </row>
    <row r="125" spans="1:12" ht="51" hidden="1">
      <c r="A125" s="217" t="s">
        <v>338</v>
      </c>
      <c r="B125" s="195" t="s">
        <v>336</v>
      </c>
      <c r="C125" s="115">
        <f>SUM(D125:L125)</f>
        <v>0</v>
      </c>
      <c r="D125" s="44"/>
      <c r="E125" s="42">
        <v>0</v>
      </c>
      <c r="F125" s="44"/>
      <c r="G125" s="42"/>
      <c r="H125" s="44"/>
      <c r="I125" s="42"/>
      <c r="J125" s="44"/>
      <c r="K125" s="41"/>
      <c r="L125" s="36">
        <v>0</v>
      </c>
    </row>
    <row r="126" spans="1:12" ht="12.75">
      <c r="A126" s="219" t="s">
        <v>96</v>
      </c>
      <c r="B126" s="197" t="s">
        <v>353</v>
      </c>
      <c r="C126" s="116">
        <f t="shared" si="34"/>
        <v>1795151</v>
      </c>
      <c r="D126" s="58">
        <f>SUM(D127:D130)</f>
        <v>1241767</v>
      </c>
      <c r="E126" s="58">
        <f aca="true" t="shared" si="36" ref="E126:L126">SUM(E127:E130)</f>
        <v>0</v>
      </c>
      <c r="F126" s="58">
        <f t="shared" si="36"/>
        <v>107990</v>
      </c>
      <c r="G126" s="58">
        <f t="shared" si="36"/>
        <v>0</v>
      </c>
      <c r="H126" s="58">
        <f t="shared" si="36"/>
        <v>421560</v>
      </c>
      <c r="I126" s="58">
        <f t="shared" si="36"/>
        <v>0</v>
      </c>
      <c r="J126" s="58">
        <f t="shared" si="36"/>
        <v>150</v>
      </c>
      <c r="K126" s="58">
        <f t="shared" si="36"/>
        <v>0</v>
      </c>
      <c r="L126" s="60">
        <f t="shared" si="36"/>
        <v>23684</v>
      </c>
    </row>
    <row r="127" spans="1:12" ht="25.5">
      <c r="A127" s="217" t="s">
        <v>98</v>
      </c>
      <c r="B127" s="195" t="s">
        <v>401</v>
      </c>
      <c r="C127" s="115">
        <f t="shared" si="34"/>
        <v>539851</v>
      </c>
      <c r="D127" s="35">
        <v>261684</v>
      </c>
      <c r="E127" s="41"/>
      <c r="F127" s="35">
        <v>38605</v>
      </c>
      <c r="G127" s="31"/>
      <c r="H127" s="44">
        <v>226954</v>
      </c>
      <c r="I127" s="41">
        <v>0</v>
      </c>
      <c r="J127" s="35"/>
      <c r="K127" s="31"/>
      <c r="L127" s="36">
        <v>12608</v>
      </c>
    </row>
    <row r="128" spans="1:12" ht="12.75">
      <c r="A128" s="217" t="s">
        <v>99</v>
      </c>
      <c r="B128" s="195" t="s">
        <v>115</v>
      </c>
      <c r="C128" s="115">
        <f t="shared" si="34"/>
        <v>138921</v>
      </c>
      <c r="D128" s="35">
        <v>95967</v>
      </c>
      <c r="E128" s="31"/>
      <c r="F128" s="35">
        <f>11235-1050</f>
        <v>10185</v>
      </c>
      <c r="G128" s="31"/>
      <c r="H128" s="35">
        <v>30390</v>
      </c>
      <c r="I128" s="41">
        <v>0</v>
      </c>
      <c r="J128" s="35"/>
      <c r="K128" s="31"/>
      <c r="L128" s="36">
        <v>2379</v>
      </c>
    </row>
    <row r="129" spans="1:12" ht="12.75">
      <c r="A129" s="217" t="s">
        <v>120</v>
      </c>
      <c r="B129" s="195" t="s">
        <v>339</v>
      </c>
      <c r="C129" s="115">
        <f t="shared" si="34"/>
        <v>1081190</v>
      </c>
      <c r="D129" s="35">
        <v>884116</v>
      </c>
      <c r="E129" s="41"/>
      <c r="F129" s="35">
        <v>59200</v>
      </c>
      <c r="G129" s="41">
        <v>0</v>
      </c>
      <c r="H129" s="35">
        <v>136013</v>
      </c>
      <c r="I129" s="31"/>
      <c r="J129" s="35">
        <v>150</v>
      </c>
      <c r="K129" s="31"/>
      <c r="L129" s="36">
        <v>1711</v>
      </c>
    </row>
    <row r="130" spans="1:12" ht="25.5">
      <c r="A130" s="217" t="s">
        <v>402</v>
      </c>
      <c r="B130" s="195" t="s">
        <v>471</v>
      </c>
      <c r="C130" s="115">
        <f t="shared" si="34"/>
        <v>35189</v>
      </c>
      <c r="D130" s="35"/>
      <c r="E130" s="41"/>
      <c r="F130" s="35"/>
      <c r="G130" s="41"/>
      <c r="H130" s="35">
        <f>2192+16753+9258</f>
        <v>28203</v>
      </c>
      <c r="I130" s="31"/>
      <c r="J130" s="35"/>
      <c r="K130" s="31"/>
      <c r="L130" s="36">
        <v>6986</v>
      </c>
    </row>
    <row r="131" spans="1:12" ht="12.75">
      <c r="A131" s="226" t="s">
        <v>216</v>
      </c>
      <c r="B131" s="201" t="s">
        <v>403</v>
      </c>
      <c r="C131" s="116">
        <f t="shared" si="34"/>
        <v>3000</v>
      </c>
      <c r="D131" s="58">
        <f>SUM(D132:D133)</f>
        <v>3000</v>
      </c>
      <c r="E131" s="37">
        <f aca="true" t="shared" si="37" ref="E131:L131">SUM(E132:E133)</f>
        <v>0</v>
      </c>
      <c r="F131" s="58">
        <f t="shared" si="37"/>
        <v>0</v>
      </c>
      <c r="G131" s="37">
        <f t="shared" si="37"/>
        <v>0</v>
      </c>
      <c r="H131" s="58">
        <f t="shared" si="37"/>
        <v>0</v>
      </c>
      <c r="I131" s="37">
        <f t="shared" si="37"/>
        <v>0</v>
      </c>
      <c r="J131" s="58">
        <f t="shared" si="37"/>
        <v>0</v>
      </c>
      <c r="K131" s="37">
        <f t="shared" si="37"/>
        <v>0</v>
      </c>
      <c r="L131" s="232">
        <f t="shared" si="37"/>
        <v>0</v>
      </c>
    </row>
    <row r="132" spans="1:12" ht="25.5">
      <c r="A132" s="233" t="s">
        <v>274</v>
      </c>
      <c r="B132" s="195" t="s">
        <v>340</v>
      </c>
      <c r="C132" s="115">
        <f>SUM(D132:L132)</f>
        <v>2000</v>
      </c>
      <c r="D132" s="35">
        <v>2000</v>
      </c>
      <c r="E132" s="32"/>
      <c r="F132" s="35"/>
      <c r="G132" s="32"/>
      <c r="H132" s="35"/>
      <c r="I132" s="32"/>
      <c r="J132" s="35"/>
      <c r="K132" s="32"/>
      <c r="L132" s="36"/>
    </row>
    <row r="133" spans="1:12" ht="25.5">
      <c r="A133" s="233" t="s">
        <v>341</v>
      </c>
      <c r="B133" s="195" t="s">
        <v>704</v>
      </c>
      <c r="C133" s="115">
        <f>SUM(D133:L133)</f>
        <v>1000</v>
      </c>
      <c r="D133" s="35">
        <v>1000</v>
      </c>
      <c r="E133" s="32"/>
      <c r="F133" s="35"/>
      <c r="G133" s="32"/>
      <c r="H133" s="35"/>
      <c r="I133" s="32"/>
      <c r="J133" s="35"/>
      <c r="K133" s="32"/>
      <c r="L133" s="36"/>
    </row>
    <row r="134" spans="1:12" ht="12.75">
      <c r="A134" s="226" t="s">
        <v>213</v>
      </c>
      <c r="B134" s="201" t="s">
        <v>354</v>
      </c>
      <c r="C134" s="116">
        <f t="shared" si="34"/>
        <v>864619</v>
      </c>
      <c r="D134" s="58">
        <f aca="true" t="shared" si="38" ref="D134:L134">D135+D136</f>
        <v>449945</v>
      </c>
      <c r="E134" s="37">
        <f t="shared" si="38"/>
        <v>0</v>
      </c>
      <c r="F134" s="58">
        <f t="shared" si="38"/>
        <v>105800</v>
      </c>
      <c r="G134" s="37">
        <f t="shared" si="38"/>
        <v>0</v>
      </c>
      <c r="H134" s="58">
        <f t="shared" si="38"/>
        <v>200000</v>
      </c>
      <c r="I134" s="37">
        <f t="shared" si="38"/>
        <v>0</v>
      </c>
      <c r="J134" s="58">
        <f t="shared" si="38"/>
        <v>0</v>
      </c>
      <c r="K134" s="37">
        <f t="shared" si="38"/>
        <v>0</v>
      </c>
      <c r="L134" s="60">
        <f t="shared" si="38"/>
        <v>108874</v>
      </c>
    </row>
    <row r="135" spans="1:12" ht="25.5">
      <c r="A135" s="233" t="s">
        <v>214</v>
      </c>
      <c r="B135" s="195" t="s">
        <v>404</v>
      </c>
      <c r="C135" s="141">
        <f t="shared" si="34"/>
        <v>555782</v>
      </c>
      <c r="D135" s="33">
        <v>449945</v>
      </c>
      <c r="E135" s="41"/>
      <c r="F135" s="110">
        <f>89700+16100</f>
        <v>105800</v>
      </c>
      <c r="G135" s="41"/>
      <c r="H135" s="44"/>
      <c r="I135" s="41"/>
      <c r="J135" s="44"/>
      <c r="K135" s="31"/>
      <c r="L135" s="59">
        <v>37</v>
      </c>
    </row>
    <row r="136" spans="1:12" ht="25.5">
      <c r="A136" s="233" t="s">
        <v>215</v>
      </c>
      <c r="B136" s="195" t="s">
        <v>472</v>
      </c>
      <c r="C136" s="141">
        <f t="shared" si="34"/>
        <v>308837</v>
      </c>
      <c r="D136" s="33"/>
      <c r="E136" s="31"/>
      <c r="F136" s="110"/>
      <c r="G136" s="41"/>
      <c r="H136" s="35">
        <f>50000+80000+42000+28000</f>
        <v>200000</v>
      </c>
      <c r="I136" s="41"/>
      <c r="J136" s="35"/>
      <c r="K136" s="31"/>
      <c r="L136" s="59">
        <v>108837</v>
      </c>
    </row>
    <row r="137" spans="1:12" ht="12.75">
      <c r="A137" s="219" t="s">
        <v>116</v>
      </c>
      <c r="B137" s="201" t="s">
        <v>342</v>
      </c>
      <c r="C137" s="116">
        <f t="shared" si="34"/>
        <v>497496</v>
      </c>
      <c r="D137" s="58">
        <f aca="true" t="shared" si="39" ref="D137:L137">SUM(D138:D140)</f>
        <v>430326</v>
      </c>
      <c r="E137" s="37">
        <f t="shared" si="39"/>
        <v>0</v>
      </c>
      <c r="F137" s="58">
        <f t="shared" si="39"/>
        <v>240</v>
      </c>
      <c r="G137" s="37">
        <f t="shared" si="39"/>
        <v>0</v>
      </c>
      <c r="H137" s="58">
        <f t="shared" si="39"/>
        <v>65380</v>
      </c>
      <c r="I137" s="37">
        <f t="shared" si="39"/>
        <v>0</v>
      </c>
      <c r="J137" s="58">
        <f t="shared" si="39"/>
        <v>0</v>
      </c>
      <c r="K137" s="37">
        <f t="shared" si="39"/>
        <v>0</v>
      </c>
      <c r="L137" s="60">
        <f t="shared" si="39"/>
        <v>1550</v>
      </c>
    </row>
    <row r="138" spans="1:12" ht="12.75">
      <c r="A138" s="217" t="s">
        <v>343</v>
      </c>
      <c r="B138" s="195" t="s">
        <v>405</v>
      </c>
      <c r="C138" s="141">
        <f t="shared" si="34"/>
        <v>430566</v>
      </c>
      <c r="D138" s="35">
        <v>430326</v>
      </c>
      <c r="E138" s="41"/>
      <c r="F138" s="35">
        <v>240</v>
      </c>
      <c r="G138" s="31"/>
      <c r="H138" s="35"/>
      <c r="I138" s="31"/>
      <c r="J138" s="35"/>
      <c r="K138" s="31"/>
      <c r="L138" s="36"/>
    </row>
    <row r="139" spans="1:12" ht="25.5">
      <c r="A139" s="217" t="s">
        <v>344</v>
      </c>
      <c r="B139" s="195" t="s">
        <v>425</v>
      </c>
      <c r="C139" s="141">
        <f t="shared" si="34"/>
        <v>66930</v>
      </c>
      <c r="D139" s="35"/>
      <c r="E139" s="42"/>
      <c r="F139" s="35"/>
      <c r="G139" s="32"/>
      <c r="H139" s="35">
        <v>65380</v>
      </c>
      <c r="I139" s="32">
        <v>0</v>
      </c>
      <c r="J139" s="35"/>
      <c r="K139" s="32"/>
      <c r="L139" s="36">
        <v>1550</v>
      </c>
    </row>
    <row r="140" spans="1:12" ht="25.5" hidden="1">
      <c r="A140" s="217" t="s">
        <v>227</v>
      </c>
      <c r="B140" s="195" t="s">
        <v>345</v>
      </c>
      <c r="C140" s="115">
        <f t="shared" si="34"/>
        <v>0</v>
      </c>
      <c r="D140" s="35"/>
      <c r="E140" s="31"/>
      <c r="F140" s="35"/>
      <c r="G140" s="31"/>
      <c r="H140" s="35"/>
      <c r="I140" s="31"/>
      <c r="J140" s="35"/>
      <c r="K140" s="31"/>
      <c r="L140" s="36">
        <v>0</v>
      </c>
    </row>
    <row r="141" spans="1:12" s="147" customFormat="1" ht="12.75">
      <c r="A141" s="221" t="s">
        <v>45</v>
      </c>
      <c r="B141" s="198" t="s">
        <v>24</v>
      </c>
      <c r="C141" s="199">
        <f t="shared" si="34"/>
        <v>3676967</v>
      </c>
      <c r="D141" s="199">
        <f>D142+D147+D150+D156+D157+D158+D167</f>
        <v>3306132</v>
      </c>
      <c r="E141" s="199">
        <f aca="true" t="shared" si="40" ref="E141:L141">E142+E147+E150+E156+E157+E158+E167</f>
        <v>-23303</v>
      </c>
      <c r="F141" s="199">
        <f t="shared" si="40"/>
        <v>24838</v>
      </c>
      <c r="G141" s="199">
        <f t="shared" si="40"/>
        <v>0</v>
      </c>
      <c r="H141" s="199">
        <f t="shared" si="40"/>
        <v>311559</v>
      </c>
      <c r="I141" s="199">
        <f t="shared" si="40"/>
        <v>0</v>
      </c>
      <c r="J141" s="199">
        <f t="shared" si="40"/>
        <v>0</v>
      </c>
      <c r="K141" s="199">
        <f t="shared" si="40"/>
        <v>0</v>
      </c>
      <c r="L141" s="222">
        <f t="shared" si="40"/>
        <v>57741</v>
      </c>
    </row>
    <row r="142" spans="1:12" ht="12.75">
      <c r="A142" s="219" t="s">
        <v>100</v>
      </c>
      <c r="B142" s="201" t="s">
        <v>101</v>
      </c>
      <c r="C142" s="116">
        <f t="shared" si="34"/>
        <v>277719</v>
      </c>
      <c r="D142" s="58">
        <f aca="true" t="shared" si="41" ref="D142:K142">D143+D144+D145+D146</f>
        <v>200343</v>
      </c>
      <c r="E142" s="37">
        <f t="shared" si="41"/>
        <v>0</v>
      </c>
      <c r="F142" s="58">
        <f t="shared" si="41"/>
        <v>5000</v>
      </c>
      <c r="G142" s="37">
        <f t="shared" si="41"/>
        <v>0</v>
      </c>
      <c r="H142" s="58">
        <f t="shared" si="41"/>
        <v>71643</v>
      </c>
      <c r="I142" s="37">
        <f t="shared" si="41"/>
        <v>0</v>
      </c>
      <c r="J142" s="58">
        <f t="shared" si="41"/>
        <v>0</v>
      </c>
      <c r="K142" s="37">
        <f t="shared" si="41"/>
        <v>0</v>
      </c>
      <c r="L142" s="60">
        <f>L143+L144+L145+L146</f>
        <v>733</v>
      </c>
    </row>
    <row r="143" spans="1:12" ht="25.5">
      <c r="A143" s="217" t="s">
        <v>122</v>
      </c>
      <c r="B143" s="195" t="s">
        <v>126</v>
      </c>
      <c r="C143" s="115">
        <f>SUM(D143:J143)</f>
        <v>106044</v>
      </c>
      <c r="D143" s="35">
        <f>52015+2300</f>
        <v>54315</v>
      </c>
      <c r="E143" s="42"/>
      <c r="F143" s="35"/>
      <c r="G143" s="32"/>
      <c r="H143" s="35">
        <v>51729</v>
      </c>
      <c r="I143" s="32"/>
      <c r="J143" s="35"/>
      <c r="K143" s="32"/>
      <c r="L143" s="36"/>
    </row>
    <row r="144" spans="1:12" ht="12.75">
      <c r="A144" s="217" t="s">
        <v>123</v>
      </c>
      <c r="B144" s="195" t="s">
        <v>127</v>
      </c>
      <c r="C144" s="115">
        <f>SUM(D144:L144)</f>
        <v>53771</v>
      </c>
      <c r="D144" s="35">
        <v>52538</v>
      </c>
      <c r="E144" s="32"/>
      <c r="F144" s="35">
        <v>900</v>
      </c>
      <c r="G144" s="32"/>
      <c r="H144" s="35"/>
      <c r="I144" s="32"/>
      <c r="J144" s="35"/>
      <c r="K144" s="32"/>
      <c r="L144" s="36">
        <v>333</v>
      </c>
    </row>
    <row r="145" spans="1:12" ht="12.75">
      <c r="A145" s="217" t="s">
        <v>124</v>
      </c>
      <c r="B145" s="195" t="s">
        <v>128</v>
      </c>
      <c r="C145" s="115">
        <f>SUM(D145:L145)</f>
        <v>50213</v>
      </c>
      <c r="D145" s="115">
        <v>49035</v>
      </c>
      <c r="E145" s="118"/>
      <c r="F145" s="115">
        <v>1100</v>
      </c>
      <c r="G145" s="118"/>
      <c r="H145" s="115"/>
      <c r="I145" s="118"/>
      <c r="J145" s="115"/>
      <c r="K145" s="118"/>
      <c r="L145" s="36">
        <v>78</v>
      </c>
    </row>
    <row r="146" spans="1:12" ht="12.75">
      <c r="A146" s="217" t="s">
        <v>125</v>
      </c>
      <c r="B146" s="195" t="s">
        <v>129</v>
      </c>
      <c r="C146" s="115">
        <f>SUM(D146:L146)</f>
        <v>67691</v>
      </c>
      <c r="D146" s="35">
        <f>40329+4126</f>
        <v>44455</v>
      </c>
      <c r="E146" s="32"/>
      <c r="F146" s="35">
        <v>3000</v>
      </c>
      <c r="G146" s="32"/>
      <c r="H146" s="44">
        <v>19914</v>
      </c>
      <c r="I146" s="32"/>
      <c r="J146" s="35"/>
      <c r="K146" s="32"/>
      <c r="L146" s="36">
        <v>322</v>
      </c>
    </row>
    <row r="147" spans="1:12" ht="12.75">
      <c r="A147" s="219" t="s">
        <v>130</v>
      </c>
      <c r="B147" s="201" t="s">
        <v>131</v>
      </c>
      <c r="C147" s="116">
        <f>SUM(D147:L147)</f>
        <v>225778</v>
      </c>
      <c r="D147" s="58">
        <f aca="true" t="shared" si="42" ref="D147:K147">D148+D149</f>
        <v>218381</v>
      </c>
      <c r="E147" s="37">
        <f t="shared" si="42"/>
        <v>0</v>
      </c>
      <c r="F147" s="58">
        <f t="shared" si="42"/>
        <v>6500</v>
      </c>
      <c r="G147" s="37">
        <f t="shared" si="42"/>
        <v>0</v>
      </c>
      <c r="H147" s="58">
        <f t="shared" si="42"/>
        <v>0</v>
      </c>
      <c r="I147" s="37">
        <f t="shared" si="42"/>
        <v>0</v>
      </c>
      <c r="J147" s="58">
        <f t="shared" si="42"/>
        <v>0</v>
      </c>
      <c r="K147" s="37">
        <f t="shared" si="42"/>
        <v>0</v>
      </c>
      <c r="L147" s="60">
        <f>L148+L149</f>
        <v>897</v>
      </c>
    </row>
    <row r="148" spans="1:12" ht="12.75">
      <c r="A148" s="217" t="s">
        <v>132</v>
      </c>
      <c r="B148" s="195" t="s">
        <v>355</v>
      </c>
      <c r="C148" s="115">
        <f>SUM(D148:L148)</f>
        <v>146425</v>
      </c>
      <c r="D148" s="35">
        <v>139028</v>
      </c>
      <c r="E148" s="32"/>
      <c r="F148" s="35">
        <v>6500</v>
      </c>
      <c r="G148" s="32"/>
      <c r="H148" s="35"/>
      <c r="I148" s="32"/>
      <c r="J148" s="35"/>
      <c r="K148" s="32"/>
      <c r="L148" s="36">
        <v>897</v>
      </c>
    </row>
    <row r="149" spans="1:12" ht="12.75">
      <c r="A149" s="217" t="s">
        <v>133</v>
      </c>
      <c r="B149" s="195" t="s">
        <v>346</v>
      </c>
      <c r="C149" s="115">
        <f>SUM(D149:J149)</f>
        <v>79353</v>
      </c>
      <c r="D149" s="35">
        <f>42303+88500-50000-1450</f>
        <v>79353</v>
      </c>
      <c r="E149" s="42"/>
      <c r="F149" s="35"/>
      <c r="G149" s="32"/>
      <c r="H149" s="35"/>
      <c r="I149" s="32"/>
      <c r="J149" s="35"/>
      <c r="K149" s="32"/>
      <c r="L149" s="36"/>
    </row>
    <row r="150" spans="1:12" ht="12.75">
      <c r="A150" s="219" t="s">
        <v>102</v>
      </c>
      <c r="B150" s="201" t="s">
        <v>103</v>
      </c>
      <c r="C150" s="116">
        <f aca="true" t="shared" si="43" ref="C150:C161">SUM(D150:L150)</f>
        <v>701802</v>
      </c>
      <c r="D150" s="58">
        <f>SUM(D151:D155)</f>
        <v>592959</v>
      </c>
      <c r="E150" s="37">
        <f aca="true" t="shared" si="44" ref="E150:L150">SUM(E151:E155)</f>
        <v>0</v>
      </c>
      <c r="F150" s="58">
        <f t="shared" si="44"/>
        <v>4500</v>
      </c>
      <c r="G150" s="37">
        <f t="shared" si="44"/>
        <v>0</v>
      </c>
      <c r="H150" s="58">
        <f t="shared" si="44"/>
        <v>66786</v>
      </c>
      <c r="I150" s="37">
        <f t="shared" si="44"/>
        <v>0</v>
      </c>
      <c r="J150" s="58">
        <f t="shared" si="44"/>
        <v>0</v>
      </c>
      <c r="K150" s="37">
        <f t="shared" si="44"/>
        <v>0</v>
      </c>
      <c r="L150" s="60">
        <f t="shared" si="44"/>
        <v>37557</v>
      </c>
    </row>
    <row r="151" spans="1:12" ht="12.75">
      <c r="A151" s="217" t="s">
        <v>134</v>
      </c>
      <c r="B151" s="195" t="s">
        <v>172</v>
      </c>
      <c r="C151" s="115">
        <f t="shared" si="43"/>
        <v>65611</v>
      </c>
      <c r="D151" s="44">
        <v>65104</v>
      </c>
      <c r="E151" s="32"/>
      <c r="F151" s="35">
        <v>400</v>
      </c>
      <c r="G151" s="32"/>
      <c r="H151" s="35"/>
      <c r="I151" s="32"/>
      <c r="J151" s="35"/>
      <c r="K151" s="32"/>
      <c r="L151" s="234">
        <v>107</v>
      </c>
    </row>
    <row r="152" spans="1:12" ht="25.5">
      <c r="A152" s="217" t="s">
        <v>180</v>
      </c>
      <c r="B152" s="195" t="s">
        <v>228</v>
      </c>
      <c r="C152" s="115">
        <f t="shared" si="43"/>
        <v>445336</v>
      </c>
      <c r="D152" s="35">
        <f>474819-30000-4625-28000</f>
        <v>412194</v>
      </c>
      <c r="E152" s="42"/>
      <c r="F152" s="44">
        <v>4100</v>
      </c>
      <c r="G152" s="42"/>
      <c r="H152" s="44"/>
      <c r="I152" s="42"/>
      <c r="J152" s="35"/>
      <c r="K152" s="32"/>
      <c r="L152" s="59">
        <v>29042</v>
      </c>
    </row>
    <row r="153" spans="1:12" ht="12.75">
      <c r="A153" s="217" t="s">
        <v>135</v>
      </c>
      <c r="B153" s="195" t="s">
        <v>406</v>
      </c>
      <c r="C153" s="115">
        <f t="shared" si="43"/>
        <v>99370</v>
      </c>
      <c r="D153" s="35">
        <v>98961</v>
      </c>
      <c r="E153" s="32"/>
      <c r="F153" s="35"/>
      <c r="G153" s="32"/>
      <c r="H153" s="35"/>
      <c r="I153" s="32"/>
      <c r="J153" s="35"/>
      <c r="K153" s="32"/>
      <c r="L153" s="36">
        <v>409</v>
      </c>
    </row>
    <row r="154" spans="1:12" ht="51">
      <c r="A154" s="217" t="s">
        <v>347</v>
      </c>
      <c r="B154" s="195" t="s">
        <v>349</v>
      </c>
      <c r="C154" s="115">
        <f>SUM(D154:L154)</f>
        <v>48720</v>
      </c>
      <c r="D154" s="35">
        <v>8800</v>
      </c>
      <c r="E154" s="32"/>
      <c r="F154" s="35"/>
      <c r="G154" s="32"/>
      <c r="H154" s="35">
        <f>31000+932</f>
        <v>31932</v>
      </c>
      <c r="I154" s="32"/>
      <c r="J154" s="35"/>
      <c r="K154" s="32"/>
      <c r="L154" s="36">
        <v>7988</v>
      </c>
    </row>
    <row r="155" spans="1:12" ht="51">
      <c r="A155" s="217" t="s">
        <v>348</v>
      </c>
      <c r="B155" s="195" t="s">
        <v>356</v>
      </c>
      <c r="C155" s="115">
        <f>SUM(D155:L155)</f>
        <v>42765</v>
      </c>
      <c r="D155" s="35">
        <v>7900</v>
      </c>
      <c r="E155" s="32"/>
      <c r="F155" s="35"/>
      <c r="G155" s="32"/>
      <c r="H155" s="35">
        <f>9152+8081+8944+8677</f>
        <v>34854</v>
      </c>
      <c r="I155" s="32"/>
      <c r="J155" s="35"/>
      <c r="K155" s="32"/>
      <c r="L155" s="36">
        <v>11</v>
      </c>
    </row>
    <row r="156" spans="1:12" ht="12.75">
      <c r="A156" s="226" t="s">
        <v>357</v>
      </c>
      <c r="B156" s="201" t="s">
        <v>229</v>
      </c>
      <c r="C156" s="116">
        <f t="shared" si="43"/>
        <v>226662</v>
      </c>
      <c r="D156" s="58">
        <v>77812</v>
      </c>
      <c r="E156" s="37">
        <v>-23303</v>
      </c>
      <c r="F156" s="58"/>
      <c r="G156" s="37"/>
      <c r="H156" s="58">
        <v>157080</v>
      </c>
      <c r="I156" s="104"/>
      <c r="J156" s="58"/>
      <c r="K156" s="37"/>
      <c r="L156" s="60">
        <v>15073</v>
      </c>
    </row>
    <row r="157" spans="1:12" ht="40.5">
      <c r="A157" s="219" t="s">
        <v>104</v>
      </c>
      <c r="B157" s="201" t="s">
        <v>0</v>
      </c>
      <c r="C157" s="116">
        <f t="shared" si="43"/>
        <v>645000</v>
      </c>
      <c r="D157" s="58">
        <f>570000+35000+40000</f>
        <v>645000</v>
      </c>
      <c r="E157" s="104"/>
      <c r="F157" s="58"/>
      <c r="G157" s="37"/>
      <c r="H157" s="58"/>
      <c r="I157" s="104"/>
      <c r="J157" s="58"/>
      <c r="K157" s="37"/>
      <c r="L157" s="60"/>
    </row>
    <row r="158" spans="1:12" ht="25.5">
      <c r="A158" s="219" t="s">
        <v>105</v>
      </c>
      <c r="B158" s="201" t="s">
        <v>173</v>
      </c>
      <c r="C158" s="116">
        <f t="shared" si="43"/>
        <v>895124</v>
      </c>
      <c r="D158" s="58">
        <f>SUM(D159:D166)</f>
        <v>870860</v>
      </c>
      <c r="E158" s="37">
        <f aca="true" t="shared" si="45" ref="E158:L158">SUM(E159:E166)</f>
        <v>0</v>
      </c>
      <c r="F158" s="58">
        <f t="shared" si="45"/>
        <v>7200</v>
      </c>
      <c r="G158" s="37">
        <f t="shared" si="45"/>
        <v>0</v>
      </c>
      <c r="H158" s="58">
        <f t="shared" si="45"/>
        <v>16050</v>
      </c>
      <c r="I158" s="37">
        <f t="shared" si="45"/>
        <v>0</v>
      </c>
      <c r="J158" s="58">
        <f t="shared" si="45"/>
        <v>0</v>
      </c>
      <c r="K158" s="37">
        <f t="shared" si="45"/>
        <v>0</v>
      </c>
      <c r="L158" s="60">
        <f t="shared" si="45"/>
        <v>1014</v>
      </c>
    </row>
    <row r="159" spans="1:12" ht="12.75">
      <c r="A159" s="217" t="s">
        <v>136</v>
      </c>
      <c r="B159" s="195" t="s">
        <v>142</v>
      </c>
      <c r="C159" s="141">
        <f t="shared" si="43"/>
        <v>18651</v>
      </c>
      <c r="D159" s="44">
        <v>18651</v>
      </c>
      <c r="E159" s="32"/>
      <c r="F159" s="35"/>
      <c r="G159" s="31"/>
      <c r="H159" s="35"/>
      <c r="I159" s="31"/>
      <c r="J159" s="35"/>
      <c r="K159" s="31"/>
      <c r="L159" s="36"/>
    </row>
    <row r="160" spans="1:12" ht="12.75">
      <c r="A160" s="217" t="s">
        <v>137</v>
      </c>
      <c r="B160" s="195" t="s">
        <v>407</v>
      </c>
      <c r="C160" s="141">
        <f t="shared" si="43"/>
        <v>22525</v>
      </c>
      <c r="D160" s="35">
        <v>22525</v>
      </c>
      <c r="E160" s="32"/>
      <c r="F160" s="35"/>
      <c r="G160" s="31"/>
      <c r="H160" s="35"/>
      <c r="I160" s="31"/>
      <c r="J160" s="35"/>
      <c r="K160" s="31"/>
      <c r="L160" s="36"/>
    </row>
    <row r="161" spans="1:12" ht="25.5">
      <c r="A161" s="217" t="s">
        <v>138</v>
      </c>
      <c r="B161" s="195" t="s">
        <v>144</v>
      </c>
      <c r="C161" s="141">
        <f t="shared" si="43"/>
        <v>200555</v>
      </c>
      <c r="D161" s="35">
        <f>248845-35000+2510-25850</f>
        <v>190505</v>
      </c>
      <c r="E161" s="42"/>
      <c r="F161" s="35"/>
      <c r="G161" s="31"/>
      <c r="H161" s="35">
        <f>9568+482</f>
        <v>10050</v>
      </c>
      <c r="I161" s="41"/>
      <c r="J161" s="35"/>
      <c r="K161" s="31"/>
      <c r="L161" s="36"/>
    </row>
    <row r="162" spans="1:12" ht="12.75">
      <c r="A162" s="217" t="s">
        <v>139</v>
      </c>
      <c r="B162" s="195" t="s">
        <v>408</v>
      </c>
      <c r="C162" s="141">
        <f aca="true" t="shared" si="46" ref="C162:C176">SUM(D162:L162)</f>
        <v>28585</v>
      </c>
      <c r="D162" s="35">
        <f>80466-53690</f>
        <v>26776</v>
      </c>
      <c r="E162" s="32"/>
      <c r="F162" s="35">
        <f>1500-468</f>
        <v>1032</v>
      </c>
      <c r="G162" s="31"/>
      <c r="H162" s="35"/>
      <c r="I162" s="31"/>
      <c r="J162" s="35"/>
      <c r="K162" s="31"/>
      <c r="L162" s="36">
        <v>777</v>
      </c>
    </row>
    <row r="163" spans="1:12" ht="12.75">
      <c r="A163" s="217" t="s">
        <v>430</v>
      </c>
      <c r="B163" s="195" t="s">
        <v>473</v>
      </c>
      <c r="C163" s="141">
        <f t="shared" si="46"/>
        <v>38142</v>
      </c>
      <c r="D163" s="35">
        <v>36674</v>
      </c>
      <c r="E163" s="32"/>
      <c r="F163" s="35">
        <v>1468</v>
      </c>
      <c r="G163" s="31"/>
      <c r="H163" s="35"/>
      <c r="I163" s="31"/>
      <c r="J163" s="35"/>
      <c r="K163" s="31"/>
      <c r="L163" s="36"/>
    </row>
    <row r="164" spans="1:12" ht="25.5">
      <c r="A164" s="217" t="s">
        <v>140</v>
      </c>
      <c r="B164" s="195" t="s">
        <v>424</v>
      </c>
      <c r="C164" s="141">
        <f t="shared" si="46"/>
        <v>517791</v>
      </c>
      <c r="D164" s="35">
        <v>508587</v>
      </c>
      <c r="E164" s="32"/>
      <c r="F164" s="35">
        <v>3000</v>
      </c>
      <c r="G164" s="113"/>
      <c r="H164" s="35">
        <v>6000</v>
      </c>
      <c r="I164" s="113"/>
      <c r="J164" s="112"/>
      <c r="K164" s="113"/>
      <c r="L164" s="36">
        <v>204</v>
      </c>
    </row>
    <row r="165" spans="1:12" ht="12.75">
      <c r="A165" s="217" t="s">
        <v>141</v>
      </c>
      <c r="B165" s="195" t="s">
        <v>143</v>
      </c>
      <c r="C165" s="141">
        <f t="shared" si="46"/>
        <v>11098</v>
      </c>
      <c r="D165" s="35">
        <v>9365</v>
      </c>
      <c r="E165" s="32"/>
      <c r="F165" s="35">
        <v>1700</v>
      </c>
      <c r="G165" s="31"/>
      <c r="H165" s="35"/>
      <c r="I165" s="31"/>
      <c r="J165" s="35"/>
      <c r="K165" s="31"/>
      <c r="L165" s="36">
        <v>33</v>
      </c>
    </row>
    <row r="166" spans="1:12" ht="25.5">
      <c r="A166" s="217" t="s">
        <v>409</v>
      </c>
      <c r="B166" s="195" t="s">
        <v>433</v>
      </c>
      <c r="C166" s="141">
        <f t="shared" si="46"/>
        <v>57777</v>
      </c>
      <c r="D166" s="35">
        <v>57777</v>
      </c>
      <c r="E166" s="32"/>
      <c r="F166" s="35"/>
      <c r="G166" s="31"/>
      <c r="H166" s="35"/>
      <c r="I166" s="31"/>
      <c r="J166" s="35"/>
      <c r="K166" s="31"/>
      <c r="L166" s="36"/>
    </row>
    <row r="167" spans="1:12" ht="12.75">
      <c r="A167" s="219" t="s">
        <v>418</v>
      </c>
      <c r="B167" s="201" t="s">
        <v>411</v>
      </c>
      <c r="C167" s="116">
        <f t="shared" si="46"/>
        <v>704882</v>
      </c>
      <c r="D167" s="58">
        <f>SUM(D168:D170)</f>
        <v>700777</v>
      </c>
      <c r="E167" s="58">
        <f aca="true" t="shared" si="47" ref="E167:L167">SUM(E168:E170)</f>
        <v>0</v>
      </c>
      <c r="F167" s="58">
        <f t="shared" si="47"/>
        <v>1638</v>
      </c>
      <c r="G167" s="58">
        <f t="shared" si="47"/>
        <v>0</v>
      </c>
      <c r="H167" s="58">
        <f t="shared" si="47"/>
        <v>0</v>
      </c>
      <c r="I167" s="58">
        <f t="shared" si="47"/>
        <v>0</v>
      </c>
      <c r="J167" s="58">
        <f t="shared" si="47"/>
        <v>0</v>
      </c>
      <c r="K167" s="58">
        <f t="shared" si="47"/>
        <v>0</v>
      </c>
      <c r="L167" s="60">
        <f t="shared" si="47"/>
        <v>2467</v>
      </c>
    </row>
    <row r="168" spans="1:12" ht="12.75">
      <c r="A168" s="217" t="s">
        <v>106</v>
      </c>
      <c r="B168" s="195" t="s">
        <v>410</v>
      </c>
      <c r="C168" s="116">
        <f t="shared" si="46"/>
        <v>542212</v>
      </c>
      <c r="D168" s="58">
        <f>520592+12890+4625</f>
        <v>538107</v>
      </c>
      <c r="E168" s="37"/>
      <c r="F168" s="58">
        <v>1638</v>
      </c>
      <c r="G168" s="37">
        <v>0</v>
      </c>
      <c r="H168" s="58"/>
      <c r="I168" s="37"/>
      <c r="J168" s="58"/>
      <c r="K168" s="37"/>
      <c r="L168" s="60">
        <v>2467</v>
      </c>
    </row>
    <row r="169" spans="1:12" ht="25.5">
      <c r="A169" s="217" t="s">
        <v>412</v>
      </c>
      <c r="B169" s="195" t="s">
        <v>413</v>
      </c>
      <c r="C169" s="116">
        <f t="shared" si="46"/>
        <v>9300</v>
      </c>
      <c r="D169" s="58">
        <v>9300</v>
      </c>
      <c r="E169" s="37"/>
      <c r="F169" s="58"/>
      <c r="G169" s="37"/>
      <c r="H169" s="58"/>
      <c r="I169" s="37"/>
      <c r="J169" s="58"/>
      <c r="K169" s="37"/>
      <c r="L169" s="60"/>
    </row>
    <row r="170" spans="1:12" ht="26.25" thickBot="1">
      <c r="A170" s="245">
        <v>10.922</v>
      </c>
      <c r="B170" s="248" t="s">
        <v>474</v>
      </c>
      <c r="C170" s="246">
        <f t="shared" si="46"/>
        <v>153370</v>
      </c>
      <c r="D170" s="132">
        <f>84000+69370</f>
        <v>153370</v>
      </c>
      <c r="E170" s="133"/>
      <c r="F170" s="132"/>
      <c r="G170" s="133"/>
      <c r="H170" s="132"/>
      <c r="I170" s="133"/>
      <c r="J170" s="132"/>
      <c r="K170" s="133"/>
      <c r="L170" s="247"/>
    </row>
    <row r="171" spans="1:12" ht="13.5" thickBot="1">
      <c r="A171" s="237"/>
      <c r="B171" s="238" t="s">
        <v>61</v>
      </c>
      <c r="C171" s="239">
        <f t="shared" si="46"/>
        <v>2106140</v>
      </c>
      <c r="D171" s="240">
        <f>D172+D173</f>
        <v>921524</v>
      </c>
      <c r="E171" s="241">
        <f aca="true" t="shared" si="48" ref="E171:L171">E172+E173</f>
        <v>0</v>
      </c>
      <c r="F171" s="240">
        <f t="shared" si="48"/>
        <v>0</v>
      </c>
      <c r="G171" s="241">
        <f t="shared" si="48"/>
        <v>0</v>
      </c>
      <c r="H171" s="240">
        <f t="shared" si="48"/>
        <v>1073798</v>
      </c>
      <c r="I171" s="241">
        <f t="shared" si="48"/>
        <v>0</v>
      </c>
      <c r="J171" s="240">
        <f t="shared" si="48"/>
        <v>0</v>
      </c>
      <c r="K171" s="241">
        <f t="shared" si="48"/>
        <v>0</v>
      </c>
      <c r="L171" s="242">
        <f t="shared" si="48"/>
        <v>110818</v>
      </c>
    </row>
    <row r="172" spans="1:12" ht="12.75">
      <c r="A172" s="249" t="s">
        <v>201</v>
      </c>
      <c r="B172" s="250" t="s">
        <v>202</v>
      </c>
      <c r="C172" s="212">
        <f t="shared" si="46"/>
        <v>1656865</v>
      </c>
      <c r="D172" s="251">
        <v>472249</v>
      </c>
      <c r="E172" s="252">
        <v>0</v>
      </c>
      <c r="F172" s="251"/>
      <c r="G172" s="253"/>
      <c r="H172" s="251">
        <v>1073798</v>
      </c>
      <c r="I172" s="252">
        <v>0</v>
      </c>
      <c r="J172" s="251"/>
      <c r="K172" s="253"/>
      <c r="L172" s="254">
        <f>110818</f>
        <v>110818</v>
      </c>
    </row>
    <row r="173" spans="1:12" ht="25.5">
      <c r="A173" s="194" t="s">
        <v>110</v>
      </c>
      <c r="B173" s="183" t="s">
        <v>415</v>
      </c>
      <c r="C173" s="184">
        <f t="shared" si="46"/>
        <v>449275</v>
      </c>
      <c r="D173" s="58">
        <f>SUM(D175:D179)</f>
        <v>449275</v>
      </c>
      <c r="E173" s="37">
        <f>SUM(E174:E179)</f>
        <v>0</v>
      </c>
      <c r="F173" s="58">
        <f aca="true" t="shared" si="49" ref="F173:K173">SUM(F174:F176)</f>
        <v>0</v>
      </c>
      <c r="G173" s="37">
        <f t="shared" si="49"/>
        <v>0</v>
      </c>
      <c r="H173" s="58">
        <f t="shared" si="49"/>
        <v>0</v>
      </c>
      <c r="I173" s="37">
        <f t="shared" si="49"/>
        <v>0</v>
      </c>
      <c r="J173" s="58">
        <f t="shared" si="49"/>
        <v>0</v>
      </c>
      <c r="K173" s="37">
        <f t="shared" si="49"/>
        <v>0</v>
      </c>
      <c r="L173" s="60">
        <f>SUM(L177:L179)</f>
        <v>0</v>
      </c>
    </row>
    <row r="174" spans="1:12" ht="25.5" hidden="1">
      <c r="A174" s="194"/>
      <c r="B174" s="185" t="s">
        <v>1</v>
      </c>
      <c r="C174" s="184">
        <f t="shared" si="46"/>
        <v>0</v>
      </c>
      <c r="D174" s="35"/>
      <c r="E174" s="32"/>
      <c r="F174" s="35"/>
      <c r="G174" s="32"/>
      <c r="H174" s="35"/>
      <c r="I174" s="32"/>
      <c r="J174" s="35"/>
      <c r="K174" s="32"/>
      <c r="L174" s="36"/>
    </row>
    <row r="175" spans="1:12" ht="25.5">
      <c r="A175" s="194"/>
      <c r="B175" s="185" t="s">
        <v>303</v>
      </c>
      <c r="C175" s="184">
        <f t="shared" si="46"/>
        <v>15000</v>
      </c>
      <c r="D175" s="35">
        <v>15000</v>
      </c>
      <c r="E175" s="32"/>
      <c r="F175" s="35"/>
      <c r="G175" s="32"/>
      <c r="H175" s="35"/>
      <c r="I175" s="32"/>
      <c r="J175" s="35"/>
      <c r="K175" s="32"/>
      <c r="L175" s="36"/>
    </row>
    <row r="176" spans="1:12" ht="25.5" hidden="1">
      <c r="A176" s="194"/>
      <c r="B176" s="185" t="s">
        <v>170</v>
      </c>
      <c r="C176" s="184">
        <f t="shared" si="46"/>
        <v>0</v>
      </c>
      <c r="D176" s="35"/>
      <c r="E176" s="32"/>
      <c r="F176" s="35"/>
      <c r="G176" s="32"/>
      <c r="H176" s="35"/>
      <c r="I176" s="32"/>
      <c r="J176" s="35"/>
      <c r="K176" s="32"/>
      <c r="L176" s="36"/>
    </row>
    <row r="177" spans="1:12" ht="25.5">
      <c r="A177" s="194"/>
      <c r="B177" s="185" t="s">
        <v>416</v>
      </c>
      <c r="C177" s="184">
        <f>SUM(D177:L177)</f>
        <v>20000</v>
      </c>
      <c r="D177" s="35">
        <v>20000</v>
      </c>
      <c r="E177" s="32"/>
      <c r="F177" s="35"/>
      <c r="G177" s="32"/>
      <c r="H177" s="35"/>
      <c r="I177" s="32"/>
      <c r="J177" s="35"/>
      <c r="K177" s="32"/>
      <c r="L177" s="36"/>
    </row>
    <row r="178" spans="1:12" ht="25.5">
      <c r="A178" s="194"/>
      <c r="B178" s="185" t="s">
        <v>417</v>
      </c>
      <c r="C178" s="184">
        <f>SUM(D178:L178)</f>
        <v>150000</v>
      </c>
      <c r="D178" s="35">
        <v>150000</v>
      </c>
      <c r="E178" s="32"/>
      <c r="F178" s="35"/>
      <c r="G178" s="32"/>
      <c r="H178" s="35"/>
      <c r="I178" s="32"/>
      <c r="J178" s="35"/>
      <c r="K178" s="32"/>
      <c r="L178" s="36"/>
    </row>
    <row r="179" spans="1:12" ht="26.25" thickBot="1">
      <c r="A179" s="235"/>
      <c r="B179" s="186" t="s">
        <v>170</v>
      </c>
      <c r="C179" s="187">
        <f>SUM(D179:L179)</f>
        <v>264275</v>
      </c>
      <c r="D179" s="108">
        <v>264275</v>
      </c>
      <c r="E179" s="188"/>
      <c r="F179" s="108"/>
      <c r="G179" s="188"/>
      <c r="H179" s="108"/>
      <c r="I179" s="188"/>
      <c r="J179" s="108"/>
      <c r="K179" s="188"/>
      <c r="L179" s="236"/>
    </row>
    <row r="180" spans="1:12" ht="14.25" thickBot="1">
      <c r="A180" s="189"/>
      <c r="B180" s="190" t="s">
        <v>84</v>
      </c>
      <c r="C180" s="119">
        <f>SUM(C171+C12)</f>
        <v>49889016</v>
      </c>
      <c r="D180" s="191">
        <f>SUM(D171+D12)</f>
        <v>34695893</v>
      </c>
      <c r="E180" s="192">
        <f>SUM(E171+E12)</f>
        <v>39514</v>
      </c>
      <c r="F180" s="191">
        <f>F12+F171</f>
        <v>967178</v>
      </c>
      <c r="G180" s="192">
        <f>G12+G171</f>
        <v>35325</v>
      </c>
      <c r="H180" s="191">
        <f>H12+H171</f>
        <v>10176358</v>
      </c>
      <c r="I180" s="192">
        <f>I12+I171</f>
        <v>0</v>
      </c>
      <c r="J180" s="191">
        <f>J12+J171</f>
        <v>716750</v>
      </c>
      <c r="K180" s="192">
        <f>K12+K164</f>
        <v>0</v>
      </c>
      <c r="L180" s="193">
        <f>L12+L171</f>
        <v>3257998</v>
      </c>
    </row>
    <row r="181" spans="1:12" ht="13.5" hidden="1" thickBot="1">
      <c r="A181" s="38"/>
      <c r="B181" s="39" t="s">
        <v>188</v>
      </c>
      <c r="C181" s="120">
        <f>D181+E181</f>
        <v>0</v>
      </c>
      <c r="D181" s="121"/>
      <c r="E181" s="122"/>
      <c r="F181" s="123"/>
      <c r="G181" s="122"/>
      <c r="H181" s="123"/>
      <c r="I181" s="122"/>
      <c r="J181" s="123"/>
      <c r="K181" s="48"/>
      <c r="L181" s="124"/>
    </row>
    <row r="182" spans="1:12" ht="12.75">
      <c r="A182" s="23"/>
      <c r="B182" s="24"/>
      <c r="C182" s="25"/>
      <c r="D182" s="25"/>
      <c r="E182" s="26"/>
      <c r="F182" s="27"/>
      <c r="G182" s="26"/>
      <c r="H182" s="27"/>
      <c r="I182" s="26"/>
      <c r="J182" s="27"/>
      <c r="K182" s="28"/>
      <c r="L182" s="27"/>
    </row>
    <row r="183" spans="1:12" ht="20.25">
      <c r="A183" s="4" t="s">
        <v>431</v>
      </c>
      <c r="B183" s="4"/>
      <c r="C183" s="177"/>
      <c r="D183" s="178"/>
      <c r="E183"/>
      <c r="F183"/>
      <c r="G183"/>
      <c r="I183" s="143"/>
      <c r="K183" s="179" t="s">
        <v>432</v>
      </c>
      <c r="L183" s="180"/>
    </row>
  </sheetData>
  <sheetProtection/>
  <mergeCells count="7">
    <mergeCell ref="B9:B10"/>
    <mergeCell ref="A9:A10"/>
    <mergeCell ref="A5:L5"/>
    <mergeCell ref="H1:K1"/>
    <mergeCell ref="H2:K2"/>
    <mergeCell ref="H3:K3"/>
    <mergeCell ref="C9:L9"/>
  </mergeCells>
  <printOptions/>
  <pageMargins left="0.5118110236220472" right="0.5118110236220472" top="0.4724409448818898" bottom="0.3937007874015748" header="1.1023622047244095" footer="0.1968503937007874"/>
  <pageSetup horizontalDpi="600" verticalDpi="600" orientation="landscape" paperSize="9" scale="95" r:id="rId1"/>
  <headerFooter alignWithMargins="0">
    <oddFooter>&amp;C&amp;P</oddFooter>
  </headerFooter>
  <ignoredErrors>
    <ignoredError sqref="C143" formula="1"/>
    <ignoredError sqref="D24:E24 D17 D89 F89 L8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A1" sqref="A1:H19"/>
    </sheetView>
  </sheetViews>
  <sheetFormatPr defaultColWidth="9.140625" defaultRowHeight="12.75"/>
  <cols>
    <col min="1" max="1" width="12.140625" style="276" customWidth="1"/>
    <col min="2" max="2" width="43.421875" style="276" customWidth="1"/>
    <col min="3" max="3" width="12.28125" style="276" customWidth="1"/>
    <col min="4" max="4" width="12.00390625" style="276" customWidth="1"/>
    <col min="5" max="5" width="12.57421875" style="276" customWidth="1"/>
    <col min="6" max="6" width="11.7109375" style="276" customWidth="1"/>
    <col min="7" max="7" width="13.57421875" style="276" customWidth="1"/>
    <col min="8" max="8" width="13.421875" style="276" customWidth="1"/>
    <col min="9" max="16384" width="9.140625" style="276" customWidth="1"/>
  </cols>
  <sheetData>
    <row r="1" spans="7:8" ht="15">
      <c r="G1" s="277"/>
      <c r="H1" s="270" t="s">
        <v>706</v>
      </c>
    </row>
    <row r="2" spans="6:8" ht="15">
      <c r="F2" s="277"/>
      <c r="G2" s="277"/>
      <c r="H2" s="270" t="s">
        <v>731</v>
      </c>
    </row>
    <row r="3" spans="7:8" ht="15">
      <c r="G3" s="277"/>
      <c r="H3" s="271" t="s">
        <v>732</v>
      </c>
    </row>
    <row r="4" ht="45" customHeight="1"/>
    <row r="5" spans="1:8" ht="20.25">
      <c r="A5" s="426" t="s">
        <v>707</v>
      </c>
      <c r="B5" s="426"/>
      <c r="C5" s="426"/>
      <c r="D5" s="426"/>
      <c r="E5" s="426"/>
      <c r="F5" s="426"/>
      <c r="G5" s="426"/>
      <c r="H5" s="426"/>
    </row>
    <row r="6" spans="1:8" ht="12.75">
      <c r="A6" s="278"/>
      <c r="B6" s="278"/>
      <c r="C6" s="278"/>
      <c r="D6" s="278"/>
      <c r="E6" s="278"/>
      <c r="F6" s="278"/>
      <c r="G6" s="278"/>
      <c r="H6" s="278"/>
    </row>
    <row r="7" spans="1:8" ht="13.5" thickBot="1">
      <c r="A7" s="278"/>
      <c r="B7" s="279"/>
      <c r="C7" s="279"/>
      <c r="D7" s="279"/>
      <c r="E7" s="280"/>
      <c r="F7" s="280"/>
      <c r="G7" s="280"/>
      <c r="H7" s="281" t="s">
        <v>29</v>
      </c>
    </row>
    <row r="8" spans="1:8" ht="63.75" thickBot="1">
      <c r="A8" s="282" t="s">
        <v>708</v>
      </c>
      <c r="B8" s="283" t="s">
        <v>709</v>
      </c>
      <c r="C8" s="283" t="s">
        <v>710</v>
      </c>
      <c r="D8" s="283" t="s">
        <v>711</v>
      </c>
      <c r="E8" s="283" t="s">
        <v>712</v>
      </c>
      <c r="F8" s="334" t="s">
        <v>713</v>
      </c>
      <c r="G8" s="283" t="s">
        <v>726</v>
      </c>
      <c r="H8" s="284" t="s">
        <v>727</v>
      </c>
    </row>
    <row r="9" spans="1:8" s="290" customFormat="1" ht="19.5" thickBot="1">
      <c r="A9" s="285" t="s">
        <v>714</v>
      </c>
      <c r="B9" s="286" t="s">
        <v>715</v>
      </c>
      <c r="C9" s="287">
        <f aca="true" t="shared" si="0" ref="C9:H9">SUM(C10)</f>
        <v>50000</v>
      </c>
      <c r="D9" s="287">
        <f t="shared" si="0"/>
        <v>16605</v>
      </c>
      <c r="E9" s="399">
        <f t="shared" si="0"/>
        <v>66605</v>
      </c>
      <c r="F9" s="287">
        <f t="shared" si="0"/>
        <v>0</v>
      </c>
      <c r="G9" s="288">
        <f t="shared" si="0"/>
        <v>66605</v>
      </c>
      <c r="H9" s="289">
        <f t="shared" si="0"/>
        <v>66605</v>
      </c>
    </row>
    <row r="10" spans="1:8" ht="32.25" thickTop="1">
      <c r="A10" s="291" t="s">
        <v>716</v>
      </c>
      <c r="B10" s="292" t="s">
        <v>717</v>
      </c>
      <c r="C10" s="293">
        <v>50000</v>
      </c>
      <c r="D10" s="293">
        <v>16605</v>
      </c>
      <c r="E10" s="400">
        <f>C10+D10</f>
        <v>66605</v>
      </c>
      <c r="F10" s="294">
        <v>0</v>
      </c>
      <c r="G10" s="295">
        <f>SUM(E10:F10)</f>
        <v>66605</v>
      </c>
      <c r="H10" s="296">
        <f>SUM(G10)</f>
        <v>66605</v>
      </c>
    </row>
    <row r="11" spans="1:8" ht="32.25" thickBot="1">
      <c r="A11" s="297"/>
      <c r="B11" s="298" t="s">
        <v>718</v>
      </c>
      <c r="C11" s="299"/>
      <c r="D11" s="299"/>
      <c r="E11" s="401"/>
      <c r="F11" s="300"/>
      <c r="G11" s="301"/>
      <c r="H11" s="302">
        <v>21763</v>
      </c>
    </row>
    <row r="12" spans="1:8" s="290" customFormat="1" ht="19.5" thickBot="1">
      <c r="A12" s="285" t="s">
        <v>719</v>
      </c>
      <c r="B12" s="303" t="s">
        <v>720</v>
      </c>
      <c r="C12" s="287">
        <f aca="true" t="shared" si="1" ref="C12:H12">C14+C15</f>
        <v>869194</v>
      </c>
      <c r="D12" s="287">
        <f t="shared" si="1"/>
        <v>13584</v>
      </c>
      <c r="E12" s="399">
        <f t="shared" si="1"/>
        <v>882778</v>
      </c>
      <c r="F12" s="287">
        <f t="shared" si="1"/>
        <v>28221</v>
      </c>
      <c r="G12" s="288">
        <f t="shared" si="1"/>
        <v>910999</v>
      </c>
      <c r="H12" s="289">
        <f t="shared" si="1"/>
        <v>910999</v>
      </c>
    </row>
    <row r="13" spans="1:8" ht="32.25" thickTop="1">
      <c r="A13" s="291" t="s">
        <v>289</v>
      </c>
      <c r="B13" s="304" t="s">
        <v>305</v>
      </c>
      <c r="C13" s="305">
        <f aca="true" t="shared" si="2" ref="C13:H13">SUM(C14+C15)</f>
        <v>869194</v>
      </c>
      <c r="D13" s="305">
        <f t="shared" si="2"/>
        <v>13584</v>
      </c>
      <c r="E13" s="402">
        <f t="shared" si="2"/>
        <v>882778</v>
      </c>
      <c r="F13" s="305">
        <f>SUM(F14+F15)</f>
        <v>28221</v>
      </c>
      <c r="G13" s="306">
        <f t="shared" si="2"/>
        <v>910999</v>
      </c>
      <c r="H13" s="307">
        <f t="shared" si="2"/>
        <v>910999</v>
      </c>
    </row>
    <row r="14" spans="1:8" ht="31.5">
      <c r="A14" s="308"/>
      <c r="B14" s="309" t="s">
        <v>721</v>
      </c>
      <c r="C14" s="310">
        <f>467284+127335</f>
        <v>594619</v>
      </c>
      <c r="D14" s="310">
        <v>13584</v>
      </c>
      <c r="E14" s="403">
        <f>C14+D14</f>
        <v>608203</v>
      </c>
      <c r="F14" s="311"/>
      <c r="G14" s="312">
        <f>E14+F14</f>
        <v>608203</v>
      </c>
      <c r="H14" s="313">
        <f>G14</f>
        <v>608203</v>
      </c>
    </row>
    <row r="15" spans="1:8" ht="32.25" thickBot="1">
      <c r="A15" s="308"/>
      <c r="B15" s="314" t="s">
        <v>722</v>
      </c>
      <c r="C15" s="315">
        <v>274575</v>
      </c>
      <c r="D15" s="315">
        <v>0</v>
      </c>
      <c r="E15" s="403">
        <v>274575</v>
      </c>
      <c r="F15" s="316">
        <v>28221</v>
      </c>
      <c r="G15" s="312">
        <f>E15+F15</f>
        <v>302796</v>
      </c>
      <c r="H15" s="313">
        <f>G15</f>
        <v>302796</v>
      </c>
    </row>
    <row r="16" spans="1:8" s="290" customFormat="1" ht="19.5" hidden="1" thickBot="1">
      <c r="A16" s="317" t="s">
        <v>723</v>
      </c>
      <c r="B16" s="318" t="s">
        <v>724</v>
      </c>
      <c r="C16" s="318"/>
      <c r="D16" s="318"/>
      <c r="E16" s="404"/>
      <c r="F16" s="319"/>
      <c r="G16" s="320">
        <v>0</v>
      </c>
      <c r="H16" s="321">
        <f>SUM(G16)</f>
        <v>0</v>
      </c>
    </row>
    <row r="17" spans="1:8" s="327" customFormat="1" ht="32.25" thickBot="1">
      <c r="A17" s="322"/>
      <c r="B17" s="323" t="s">
        <v>725</v>
      </c>
      <c r="C17" s="324">
        <f aca="true" t="shared" si="3" ref="C17:H17">C9+C12+C16</f>
        <v>919194</v>
      </c>
      <c r="D17" s="324">
        <f t="shared" si="3"/>
        <v>30189</v>
      </c>
      <c r="E17" s="405">
        <f t="shared" si="3"/>
        <v>949383</v>
      </c>
      <c r="F17" s="324">
        <f t="shared" si="3"/>
        <v>28221</v>
      </c>
      <c r="G17" s="325">
        <f t="shared" si="3"/>
        <v>977604</v>
      </c>
      <c r="H17" s="326">
        <f t="shared" si="3"/>
        <v>977604</v>
      </c>
    </row>
    <row r="18" spans="1:8" ht="15.75">
      <c r="A18" s="328"/>
      <c r="B18" s="328"/>
      <c r="C18" s="328"/>
      <c r="D18" s="328"/>
      <c r="E18" s="328"/>
      <c r="F18" s="328"/>
      <c r="G18" s="328"/>
      <c r="H18" s="328"/>
    </row>
    <row r="19" spans="1:12" s="327" customFormat="1" ht="20.25">
      <c r="A19" s="272" t="s">
        <v>431</v>
      </c>
      <c r="B19" s="272"/>
      <c r="C19" s="273"/>
      <c r="D19" s="274"/>
      <c r="E19" s="269"/>
      <c r="F19" s="269"/>
      <c r="G19" s="269"/>
      <c r="H19" s="275" t="s">
        <v>432</v>
      </c>
      <c r="I19" s="329"/>
      <c r="J19" s="330"/>
      <c r="L19" s="331"/>
    </row>
    <row r="24" spans="5:8" ht="15.75">
      <c r="E24" s="332"/>
      <c r="F24" s="333"/>
      <c r="G24" s="332"/>
      <c r="H24" s="332"/>
    </row>
  </sheetData>
  <sheetProtection/>
  <mergeCells count="1">
    <mergeCell ref="A5:H5"/>
  </mergeCells>
  <printOptions/>
  <pageMargins left="0.75" right="0.75" top="0.51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">
      <pane xSplit="1" ySplit="6" topLeftCell="E1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V172"/>
    </sheetView>
  </sheetViews>
  <sheetFormatPr defaultColWidth="9.140625" defaultRowHeight="12.75"/>
  <cols>
    <col min="1" max="1" width="3.28125" style="0" customWidth="1"/>
    <col min="2" max="2" width="10.7109375" style="337" customWidth="1"/>
    <col min="3" max="3" width="24.00390625" style="147" customWidth="1"/>
    <col min="4" max="4" width="13.421875" style="147" customWidth="1"/>
    <col min="5" max="5" width="10.8515625" style="0" customWidth="1"/>
    <col min="6" max="6" width="10.28125" style="0" customWidth="1"/>
    <col min="7" max="7" width="11.57421875" style="0" customWidth="1"/>
    <col min="8" max="8" width="12.00390625" style="0" customWidth="1"/>
    <col min="9" max="9" width="12.7109375" style="0" customWidth="1"/>
    <col min="10" max="10" width="11.421875" style="0" customWidth="1"/>
    <col min="11" max="11" width="11.57421875" style="0" customWidth="1"/>
    <col min="12" max="12" width="12.28125" style="0" customWidth="1"/>
    <col min="13" max="15" width="11.140625" style="0" customWidth="1"/>
    <col min="16" max="16" width="11.140625" style="0" bestFit="1" customWidth="1"/>
    <col min="17" max="18" width="10.8515625" style="0" customWidth="1"/>
    <col min="19" max="19" width="11.00390625" style="0" customWidth="1"/>
    <col min="20" max="20" width="12.28125" style="0" customWidth="1"/>
    <col min="21" max="21" width="11.140625" style="0" customWidth="1"/>
    <col min="22" max="22" width="14.57421875" style="0" customWidth="1"/>
    <col min="24" max="24" width="9.140625" style="336" customWidth="1"/>
  </cols>
  <sheetData>
    <row r="1" spans="2:11" ht="15">
      <c r="B1" s="335"/>
      <c r="K1" s="270" t="s">
        <v>475</v>
      </c>
    </row>
    <row r="2" ht="15">
      <c r="K2" s="270" t="s">
        <v>731</v>
      </c>
    </row>
    <row r="3" ht="15">
      <c r="K3" s="271" t="s">
        <v>732</v>
      </c>
    </row>
    <row r="4" spans="1:22" ht="18" customHeight="1">
      <c r="A4" s="427" t="s">
        <v>476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</row>
    <row r="5" spans="1:24" s="147" customFormat="1" ht="12.75" customHeight="1">
      <c r="A5" s="428" t="s">
        <v>477</v>
      </c>
      <c r="B5" s="430" t="s">
        <v>478</v>
      </c>
      <c r="C5" s="432" t="s">
        <v>479</v>
      </c>
      <c r="D5" s="339" t="s">
        <v>480</v>
      </c>
      <c r="E5" s="339" t="s">
        <v>481</v>
      </c>
      <c r="F5" s="339" t="s">
        <v>482</v>
      </c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 t="s">
        <v>483</v>
      </c>
      <c r="X5" s="342"/>
    </row>
    <row r="6" spans="1:24" s="147" customFormat="1" ht="12.75">
      <c r="A6" s="429"/>
      <c r="B6" s="431"/>
      <c r="C6" s="433"/>
      <c r="D6" s="343" t="s">
        <v>484</v>
      </c>
      <c r="E6" s="343" t="s">
        <v>485</v>
      </c>
      <c r="F6" s="343" t="s">
        <v>29</v>
      </c>
      <c r="G6" s="343">
        <v>2013</v>
      </c>
      <c r="H6" s="343">
        <f aca="true" t="shared" si="0" ref="H6:T6">SUM(G6+1)</f>
        <v>2014</v>
      </c>
      <c r="I6" s="343">
        <f>SUM(H6+1)</f>
        <v>2015</v>
      </c>
      <c r="J6" s="343">
        <f t="shared" si="0"/>
        <v>2016</v>
      </c>
      <c r="K6" s="343">
        <f t="shared" si="0"/>
        <v>2017</v>
      </c>
      <c r="L6" s="343">
        <f t="shared" si="0"/>
        <v>2018</v>
      </c>
      <c r="M6" s="343">
        <f t="shared" si="0"/>
        <v>2019</v>
      </c>
      <c r="N6" s="343">
        <f t="shared" si="0"/>
        <v>2020</v>
      </c>
      <c r="O6" s="343">
        <f t="shared" si="0"/>
        <v>2021</v>
      </c>
      <c r="P6" s="343">
        <f t="shared" si="0"/>
        <v>2022</v>
      </c>
      <c r="Q6" s="343">
        <f t="shared" si="0"/>
        <v>2023</v>
      </c>
      <c r="R6" s="343">
        <f t="shared" si="0"/>
        <v>2024</v>
      </c>
      <c r="S6" s="343">
        <f t="shared" si="0"/>
        <v>2025</v>
      </c>
      <c r="T6" s="343">
        <f t="shared" si="0"/>
        <v>2026</v>
      </c>
      <c r="U6" s="343" t="s">
        <v>486</v>
      </c>
      <c r="V6" s="344" t="s">
        <v>487</v>
      </c>
      <c r="X6" s="342"/>
    </row>
    <row r="7" spans="1:24" s="337" customFormat="1" ht="12.75">
      <c r="A7" s="434">
        <v>1</v>
      </c>
      <c r="B7" s="346" t="s">
        <v>488</v>
      </c>
      <c r="C7" s="436" t="s">
        <v>489</v>
      </c>
      <c r="D7" s="438">
        <v>3825880.52</v>
      </c>
      <c r="E7" s="347" t="s">
        <v>490</v>
      </c>
      <c r="F7" s="346" t="s">
        <v>491</v>
      </c>
      <c r="G7" s="348">
        <v>1000</v>
      </c>
      <c r="H7" s="348">
        <v>283324</v>
      </c>
      <c r="I7" s="348">
        <v>283324</v>
      </c>
      <c r="J7" s="348">
        <v>283324</v>
      </c>
      <c r="K7" s="348">
        <v>283324</v>
      </c>
      <c r="L7" s="348">
        <v>283324</v>
      </c>
      <c r="M7" s="348">
        <v>283324</v>
      </c>
      <c r="N7" s="348">
        <v>283324</v>
      </c>
      <c r="O7" s="348">
        <v>283324</v>
      </c>
      <c r="P7" s="348">
        <v>283324</v>
      </c>
      <c r="Q7" s="348">
        <v>283324</v>
      </c>
      <c r="R7" s="348">
        <v>283324</v>
      </c>
      <c r="S7" s="348">
        <v>283324</v>
      </c>
      <c r="T7" s="348">
        <v>283324</v>
      </c>
      <c r="U7" s="394">
        <v>141668.52</v>
      </c>
      <c r="V7" s="350">
        <f aca="true" t="shared" si="1" ref="V7:V70">SUM(G7:U7)</f>
        <v>3825880.52</v>
      </c>
      <c r="X7" s="345"/>
    </row>
    <row r="8" spans="1:24" s="337" customFormat="1" ht="12.75">
      <c r="A8" s="435"/>
      <c r="B8" s="351" t="s">
        <v>492</v>
      </c>
      <c r="C8" s="437"/>
      <c r="D8" s="439"/>
      <c r="E8" s="352" t="s">
        <v>493</v>
      </c>
      <c r="F8" s="353">
        <v>0.0077</v>
      </c>
      <c r="G8" s="395">
        <v>47833.11</v>
      </c>
      <c r="H8" s="395">
        <v>36449</v>
      </c>
      <c r="I8" s="395">
        <v>35817</v>
      </c>
      <c r="J8" s="395">
        <v>33039</v>
      </c>
      <c r="K8" s="395">
        <v>30072</v>
      </c>
      <c r="L8" s="395">
        <v>27199</v>
      </c>
      <c r="M8" s="395">
        <v>24327</v>
      </c>
      <c r="N8" s="395">
        <v>21517</v>
      </c>
      <c r="O8" s="395">
        <v>18581</v>
      </c>
      <c r="P8" s="354">
        <v>15709</v>
      </c>
      <c r="Q8" s="354">
        <v>12836</v>
      </c>
      <c r="R8" s="354">
        <v>9995</v>
      </c>
      <c r="S8" s="354">
        <v>7091</v>
      </c>
      <c r="T8" s="354">
        <v>4218</v>
      </c>
      <c r="U8" s="362">
        <v>1346</v>
      </c>
      <c r="V8" s="357">
        <f t="shared" si="1"/>
        <v>326029.11</v>
      </c>
      <c r="X8" s="345"/>
    </row>
    <row r="9" spans="1:24" s="337" customFormat="1" ht="12.75">
      <c r="A9" s="434">
        <v>2</v>
      </c>
      <c r="B9" s="346" t="s">
        <v>494</v>
      </c>
      <c r="C9" s="440" t="s">
        <v>495</v>
      </c>
      <c r="D9" s="442">
        <v>587870</v>
      </c>
      <c r="E9" s="347" t="s">
        <v>496</v>
      </c>
      <c r="F9" s="346" t="s">
        <v>491</v>
      </c>
      <c r="G9" s="348"/>
      <c r="H9" s="348">
        <v>83980</v>
      </c>
      <c r="I9" s="348">
        <v>83990</v>
      </c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9"/>
      <c r="V9" s="350">
        <f t="shared" si="1"/>
        <v>167970</v>
      </c>
      <c r="X9" s="345"/>
    </row>
    <row r="10" spans="1:24" s="337" customFormat="1" ht="12.75">
      <c r="A10" s="435"/>
      <c r="B10" s="351" t="s">
        <v>497</v>
      </c>
      <c r="C10" s="441"/>
      <c r="D10" s="443"/>
      <c r="E10" s="352" t="s">
        <v>498</v>
      </c>
      <c r="F10" s="353">
        <v>0.0077</v>
      </c>
      <c r="G10" s="396">
        <v>2500.18</v>
      </c>
      <c r="H10" s="354">
        <v>1468</v>
      </c>
      <c r="I10" s="354">
        <v>719</v>
      </c>
      <c r="J10" s="355">
        <v>47</v>
      </c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6"/>
      <c r="V10" s="357">
        <f t="shared" si="1"/>
        <v>4734.18</v>
      </c>
      <c r="X10" s="345"/>
    </row>
    <row r="11" spans="1:24" s="337" customFormat="1" ht="12.75">
      <c r="A11" s="434">
        <v>3</v>
      </c>
      <c r="B11" s="346" t="s">
        <v>494</v>
      </c>
      <c r="C11" s="436" t="s">
        <v>499</v>
      </c>
      <c r="D11" s="444">
        <v>275910</v>
      </c>
      <c r="E11" s="347" t="s">
        <v>496</v>
      </c>
      <c r="F11" s="346" t="s">
        <v>491</v>
      </c>
      <c r="G11" s="348"/>
      <c r="H11" s="348">
        <v>38211</v>
      </c>
      <c r="I11" s="348">
        <v>39414</v>
      </c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9"/>
      <c r="V11" s="350">
        <f t="shared" si="1"/>
        <v>77625</v>
      </c>
      <c r="X11" s="345"/>
    </row>
    <row r="12" spans="1:24" s="337" customFormat="1" ht="12.75">
      <c r="A12" s="435"/>
      <c r="B12" s="351" t="s">
        <v>500</v>
      </c>
      <c r="C12" s="437"/>
      <c r="D12" s="445"/>
      <c r="E12" s="352" t="s">
        <v>498</v>
      </c>
      <c r="F12" s="353">
        <v>0.0077</v>
      </c>
      <c r="G12" s="396">
        <v>963.75</v>
      </c>
      <c r="H12" s="354">
        <v>682</v>
      </c>
      <c r="I12" s="354">
        <v>349</v>
      </c>
      <c r="J12" s="355">
        <v>28</v>
      </c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6"/>
      <c r="V12" s="357">
        <f t="shared" si="1"/>
        <v>2022.75</v>
      </c>
      <c r="X12" s="345"/>
    </row>
    <row r="13" spans="1:24" s="337" customFormat="1" ht="12.75">
      <c r="A13" s="434">
        <v>4</v>
      </c>
      <c r="B13" s="346" t="s">
        <v>494</v>
      </c>
      <c r="C13" s="436" t="s">
        <v>501</v>
      </c>
      <c r="D13" s="444">
        <v>124500</v>
      </c>
      <c r="E13" s="347" t="s">
        <v>496</v>
      </c>
      <c r="F13" s="346" t="s">
        <v>491</v>
      </c>
      <c r="G13" s="348">
        <v>17784</v>
      </c>
      <c r="H13" s="348">
        <v>17784</v>
      </c>
      <c r="I13" s="348">
        <v>17796</v>
      </c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9"/>
      <c r="V13" s="350">
        <f t="shared" si="1"/>
        <v>53364</v>
      </c>
      <c r="X13" s="345"/>
    </row>
    <row r="14" spans="1:24" s="337" customFormat="1" ht="12.75">
      <c r="A14" s="435"/>
      <c r="B14" s="351" t="s">
        <v>502</v>
      </c>
      <c r="C14" s="437"/>
      <c r="D14" s="445"/>
      <c r="E14" s="352" t="s">
        <v>498</v>
      </c>
      <c r="F14" s="353">
        <v>0.0077</v>
      </c>
      <c r="G14" s="396">
        <v>649.29</v>
      </c>
      <c r="H14" s="354">
        <v>312</v>
      </c>
      <c r="I14" s="354">
        <v>152</v>
      </c>
      <c r="J14" s="355">
        <v>10</v>
      </c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6"/>
      <c r="V14" s="357">
        <f t="shared" si="1"/>
        <v>1123.29</v>
      </c>
      <c r="X14" s="345"/>
    </row>
    <row r="15" spans="1:24" s="337" customFormat="1" ht="12.75">
      <c r="A15" s="434">
        <v>5</v>
      </c>
      <c r="B15" s="346" t="s">
        <v>494</v>
      </c>
      <c r="C15" s="440" t="s">
        <v>495</v>
      </c>
      <c r="D15" s="446">
        <v>796173.07</v>
      </c>
      <c r="E15" s="358" t="s">
        <v>503</v>
      </c>
      <c r="F15" s="346" t="s">
        <v>491</v>
      </c>
      <c r="G15" s="348"/>
      <c r="H15" s="348">
        <v>151656</v>
      </c>
      <c r="I15" s="348">
        <v>151656</v>
      </c>
      <c r="J15" s="348">
        <v>37893.07</v>
      </c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9"/>
      <c r="V15" s="350">
        <f t="shared" si="1"/>
        <v>341205.07</v>
      </c>
      <c r="X15" s="345"/>
    </row>
    <row r="16" spans="1:24" s="337" customFormat="1" ht="12.75">
      <c r="A16" s="435"/>
      <c r="B16" s="351" t="s">
        <v>504</v>
      </c>
      <c r="C16" s="441"/>
      <c r="D16" s="447"/>
      <c r="E16" s="352" t="s">
        <v>505</v>
      </c>
      <c r="F16" s="353">
        <v>0.0077</v>
      </c>
      <c r="G16" s="396">
        <v>4992.87</v>
      </c>
      <c r="H16" s="354">
        <v>2964</v>
      </c>
      <c r="I16" s="354">
        <v>1682</v>
      </c>
      <c r="J16" s="354">
        <v>265</v>
      </c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6"/>
      <c r="V16" s="357">
        <f t="shared" si="1"/>
        <v>9903.869999999999</v>
      </c>
      <c r="X16" s="345"/>
    </row>
    <row r="17" spans="1:24" s="337" customFormat="1" ht="12.75">
      <c r="A17" s="434">
        <v>6</v>
      </c>
      <c r="B17" s="346" t="s">
        <v>494</v>
      </c>
      <c r="C17" s="436" t="s">
        <v>506</v>
      </c>
      <c r="D17" s="448">
        <v>50764.71</v>
      </c>
      <c r="E17" s="347" t="s">
        <v>507</v>
      </c>
      <c r="F17" s="346" t="s">
        <v>491</v>
      </c>
      <c r="G17" s="348">
        <v>9672</v>
      </c>
      <c r="H17" s="348">
        <v>9672</v>
      </c>
      <c r="I17" s="348">
        <v>9672</v>
      </c>
      <c r="J17" s="348">
        <v>2404.71</v>
      </c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9"/>
      <c r="V17" s="350">
        <f t="shared" si="1"/>
        <v>31420.71</v>
      </c>
      <c r="X17" s="345"/>
    </row>
    <row r="18" spans="1:24" s="337" customFormat="1" ht="12.75">
      <c r="A18" s="435"/>
      <c r="B18" s="351" t="s">
        <v>508</v>
      </c>
      <c r="C18" s="437"/>
      <c r="D18" s="449"/>
      <c r="E18" s="352" t="s">
        <v>505</v>
      </c>
      <c r="F18" s="353">
        <v>0.0077</v>
      </c>
      <c r="G18" s="396">
        <v>385.45</v>
      </c>
      <c r="H18" s="354">
        <v>193</v>
      </c>
      <c r="I18" s="354">
        <v>107</v>
      </c>
      <c r="J18" s="354">
        <v>17</v>
      </c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6"/>
      <c r="V18" s="357">
        <f t="shared" si="1"/>
        <v>702.45</v>
      </c>
      <c r="X18" s="345"/>
    </row>
    <row r="19" spans="1:24" s="337" customFormat="1" ht="12.75" customHeight="1">
      <c r="A19" s="434">
        <v>7</v>
      </c>
      <c r="B19" s="346" t="s">
        <v>494</v>
      </c>
      <c r="C19" s="436" t="s">
        <v>509</v>
      </c>
      <c r="D19" s="448">
        <v>97786.44</v>
      </c>
      <c r="E19" s="347" t="s">
        <v>507</v>
      </c>
      <c r="F19" s="346" t="s">
        <v>491</v>
      </c>
      <c r="G19" s="348">
        <v>18628</v>
      </c>
      <c r="H19" s="348">
        <v>18628</v>
      </c>
      <c r="I19" s="348">
        <v>18628</v>
      </c>
      <c r="J19" s="348">
        <v>4646.44</v>
      </c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9"/>
      <c r="V19" s="350">
        <f t="shared" si="1"/>
        <v>60530.44</v>
      </c>
      <c r="X19" s="345"/>
    </row>
    <row r="20" spans="1:24" s="337" customFormat="1" ht="12.75">
      <c r="A20" s="435"/>
      <c r="B20" s="351" t="s">
        <v>510</v>
      </c>
      <c r="C20" s="437"/>
      <c r="D20" s="449"/>
      <c r="E20" s="352" t="s">
        <v>505</v>
      </c>
      <c r="F20" s="353">
        <v>0.0077</v>
      </c>
      <c r="G20" s="396">
        <v>742.6</v>
      </c>
      <c r="H20" s="354">
        <v>372</v>
      </c>
      <c r="I20" s="354">
        <v>206</v>
      </c>
      <c r="J20" s="354">
        <v>33</v>
      </c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6"/>
      <c r="V20" s="357">
        <f t="shared" si="1"/>
        <v>1353.6</v>
      </c>
      <c r="X20" s="345"/>
    </row>
    <row r="21" spans="1:24" s="337" customFormat="1" ht="12.75" customHeight="1">
      <c r="A21" s="434">
        <v>8</v>
      </c>
      <c r="B21" s="346" t="s">
        <v>494</v>
      </c>
      <c r="C21" s="436" t="s">
        <v>511</v>
      </c>
      <c r="D21" s="448">
        <v>23884.32</v>
      </c>
      <c r="E21" s="347" t="s">
        <v>507</v>
      </c>
      <c r="F21" s="346" t="s">
        <v>491</v>
      </c>
      <c r="G21" s="348">
        <v>4552</v>
      </c>
      <c r="H21" s="348">
        <v>4552</v>
      </c>
      <c r="I21" s="348">
        <v>4552</v>
      </c>
      <c r="J21" s="348">
        <v>1124.32</v>
      </c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9"/>
      <c r="V21" s="350">
        <f t="shared" si="1"/>
        <v>14780.32</v>
      </c>
      <c r="X21" s="345"/>
    </row>
    <row r="22" spans="1:24" s="337" customFormat="1" ht="12.75">
      <c r="A22" s="435"/>
      <c r="B22" s="351" t="s">
        <v>512</v>
      </c>
      <c r="C22" s="437"/>
      <c r="D22" s="449"/>
      <c r="E22" s="352" t="s">
        <v>505</v>
      </c>
      <c r="F22" s="353">
        <v>0.0077</v>
      </c>
      <c r="G22" s="396">
        <v>181.34</v>
      </c>
      <c r="H22" s="354">
        <v>91</v>
      </c>
      <c r="I22" s="354">
        <v>50</v>
      </c>
      <c r="J22" s="354">
        <v>8</v>
      </c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6"/>
      <c r="V22" s="357">
        <f t="shared" si="1"/>
        <v>330.34000000000003</v>
      </c>
      <c r="X22" s="345"/>
    </row>
    <row r="23" spans="1:24" s="337" customFormat="1" ht="12.75" customHeight="1">
      <c r="A23" s="434">
        <v>9</v>
      </c>
      <c r="B23" s="346" t="s">
        <v>494</v>
      </c>
      <c r="C23" s="436" t="s">
        <v>513</v>
      </c>
      <c r="D23" s="442">
        <v>40715</v>
      </c>
      <c r="E23" s="347" t="s">
        <v>507</v>
      </c>
      <c r="F23" s="346" t="s">
        <v>491</v>
      </c>
      <c r="G23" s="348"/>
      <c r="H23" s="348">
        <v>7756</v>
      </c>
      <c r="I23" s="348">
        <v>7756</v>
      </c>
      <c r="J23" s="348">
        <v>1935</v>
      </c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9"/>
      <c r="V23" s="350">
        <f t="shared" si="1"/>
        <v>17447</v>
      </c>
      <c r="X23" s="345"/>
    </row>
    <row r="24" spans="1:24" s="337" customFormat="1" ht="12.75">
      <c r="A24" s="435"/>
      <c r="B24" s="351" t="s">
        <v>514</v>
      </c>
      <c r="C24" s="437"/>
      <c r="D24" s="443"/>
      <c r="E24" s="352" t="s">
        <v>505</v>
      </c>
      <c r="F24" s="353">
        <v>0.0077</v>
      </c>
      <c r="G24" s="396">
        <v>255.74</v>
      </c>
      <c r="H24" s="354">
        <v>152</v>
      </c>
      <c r="I24" s="354">
        <v>86</v>
      </c>
      <c r="J24" s="354">
        <v>14</v>
      </c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6"/>
      <c r="V24" s="357">
        <f t="shared" si="1"/>
        <v>507.74</v>
      </c>
      <c r="X24" s="345"/>
    </row>
    <row r="25" spans="1:24" s="337" customFormat="1" ht="12.75" customHeight="1">
      <c r="A25" s="434">
        <v>10</v>
      </c>
      <c r="B25" s="346" t="s">
        <v>494</v>
      </c>
      <c r="C25" s="436" t="s">
        <v>515</v>
      </c>
      <c r="D25" s="448">
        <v>217212.26</v>
      </c>
      <c r="E25" s="347" t="s">
        <v>516</v>
      </c>
      <c r="F25" s="346" t="s">
        <v>491</v>
      </c>
      <c r="G25" s="348">
        <v>41376</v>
      </c>
      <c r="H25" s="348">
        <v>41376</v>
      </c>
      <c r="I25" s="348">
        <v>41376</v>
      </c>
      <c r="J25" s="348">
        <v>10332</v>
      </c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9"/>
      <c r="V25" s="350">
        <f t="shared" si="1"/>
        <v>134460</v>
      </c>
      <c r="X25" s="345"/>
    </row>
    <row r="26" spans="1:24" s="337" customFormat="1" ht="12.75">
      <c r="A26" s="435"/>
      <c r="B26" s="351" t="s">
        <v>517</v>
      </c>
      <c r="C26" s="437"/>
      <c r="D26" s="449"/>
      <c r="E26" s="352" t="s">
        <v>505</v>
      </c>
      <c r="F26" s="353">
        <v>0.0077</v>
      </c>
      <c r="G26" s="396">
        <v>1649.58</v>
      </c>
      <c r="H26" s="354">
        <v>826</v>
      </c>
      <c r="I26" s="354">
        <v>459</v>
      </c>
      <c r="J26" s="354">
        <v>72</v>
      </c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6"/>
      <c r="V26" s="357">
        <f t="shared" si="1"/>
        <v>3006.58</v>
      </c>
      <c r="X26" s="345"/>
    </row>
    <row r="27" spans="1:24" s="337" customFormat="1" ht="12.75" customHeight="1">
      <c r="A27" s="434">
        <v>11</v>
      </c>
      <c r="B27" s="346" t="s">
        <v>494</v>
      </c>
      <c r="C27" s="436" t="s">
        <v>518</v>
      </c>
      <c r="D27" s="448">
        <v>29398.62</v>
      </c>
      <c r="E27" s="347" t="s">
        <v>516</v>
      </c>
      <c r="F27" s="346" t="s">
        <v>491</v>
      </c>
      <c r="G27" s="348">
        <v>5600</v>
      </c>
      <c r="H27" s="348">
        <v>5600</v>
      </c>
      <c r="I27" s="348">
        <v>5600</v>
      </c>
      <c r="J27" s="348">
        <v>1398.62</v>
      </c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9"/>
      <c r="V27" s="350">
        <f t="shared" si="1"/>
        <v>18198.62</v>
      </c>
      <c r="X27" s="345"/>
    </row>
    <row r="28" spans="1:24" s="337" customFormat="1" ht="12.75">
      <c r="A28" s="435"/>
      <c r="B28" s="351" t="s">
        <v>519</v>
      </c>
      <c r="C28" s="437"/>
      <c r="D28" s="449"/>
      <c r="E28" s="352" t="s">
        <v>505</v>
      </c>
      <c r="F28" s="353">
        <v>0.0077</v>
      </c>
      <c r="G28" s="396">
        <v>221.77</v>
      </c>
      <c r="H28" s="354">
        <v>112</v>
      </c>
      <c r="I28" s="354">
        <v>62</v>
      </c>
      <c r="J28" s="354">
        <v>10</v>
      </c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6"/>
      <c r="V28" s="357">
        <f t="shared" si="1"/>
        <v>405.77</v>
      </c>
      <c r="X28" s="345"/>
    </row>
    <row r="29" spans="1:24" s="337" customFormat="1" ht="12.75" customHeight="1">
      <c r="A29" s="434">
        <v>12</v>
      </c>
      <c r="B29" s="346" t="s">
        <v>494</v>
      </c>
      <c r="C29" s="436" t="s">
        <v>520</v>
      </c>
      <c r="D29" s="448">
        <v>705769.83</v>
      </c>
      <c r="E29" s="347" t="s">
        <v>516</v>
      </c>
      <c r="F29" s="346" t="s">
        <v>491</v>
      </c>
      <c r="G29" s="348">
        <v>1000</v>
      </c>
      <c r="H29" s="348">
        <v>60124</v>
      </c>
      <c r="I29" s="348">
        <v>60124</v>
      </c>
      <c r="J29" s="348">
        <v>60124</v>
      </c>
      <c r="K29" s="348">
        <v>60124</v>
      </c>
      <c r="L29" s="348">
        <v>60124</v>
      </c>
      <c r="M29" s="348">
        <v>60124</v>
      </c>
      <c r="N29" s="348">
        <v>60124</v>
      </c>
      <c r="O29" s="348">
        <v>15029.83</v>
      </c>
      <c r="P29" s="348"/>
      <c r="Q29" s="348"/>
      <c r="R29" s="348"/>
      <c r="S29" s="348"/>
      <c r="T29" s="348"/>
      <c r="U29" s="349"/>
      <c r="V29" s="350">
        <f t="shared" si="1"/>
        <v>436897.83</v>
      </c>
      <c r="X29" s="345"/>
    </row>
    <row r="30" spans="1:24" s="337" customFormat="1" ht="12.75">
      <c r="A30" s="435"/>
      <c r="B30" s="351" t="s">
        <v>521</v>
      </c>
      <c r="C30" s="437"/>
      <c r="D30" s="449"/>
      <c r="E30" s="352" t="s">
        <v>505</v>
      </c>
      <c r="F30" s="353">
        <v>0.0077</v>
      </c>
      <c r="G30" s="396">
        <v>5589.65</v>
      </c>
      <c r="H30" s="354">
        <v>4072</v>
      </c>
      <c r="I30" s="354">
        <v>3715</v>
      </c>
      <c r="J30" s="354">
        <v>3114</v>
      </c>
      <c r="K30" s="355">
        <v>2496</v>
      </c>
      <c r="L30" s="355">
        <v>1886</v>
      </c>
      <c r="M30" s="355">
        <v>1276</v>
      </c>
      <c r="N30" s="355">
        <v>669</v>
      </c>
      <c r="O30" s="355">
        <v>104</v>
      </c>
      <c r="P30" s="355"/>
      <c r="Q30" s="355"/>
      <c r="R30" s="355"/>
      <c r="S30" s="355"/>
      <c r="T30" s="355"/>
      <c r="U30" s="356"/>
      <c r="V30" s="357">
        <f t="shared" si="1"/>
        <v>22921.65</v>
      </c>
      <c r="X30" s="345"/>
    </row>
    <row r="31" spans="1:24" s="337" customFormat="1" ht="12.75" customHeight="1">
      <c r="A31" s="434">
        <v>13</v>
      </c>
      <c r="B31" s="346" t="s">
        <v>494</v>
      </c>
      <c r="C31" s="436" t="s">
        <v>522</v>
      </c>
      <c r="D31" s="442">
        <v>65365</v>
      </c>
      <c r="E31" s="347" t="s">
        <v>516</v>
      </c>
      <c r="F31" s="346" t="s">
        <v>491</v>
      </c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9"/>
      <c r="V31" s="350">
        <f t="shared" si="1"/>
        <v>0</v>
      </c>
      <c r="X31" s="345"/>
    </row>
    <row r="32" spans="1:24" s="337" customFormat="1" ht="12.75">
      <c r="A32" s="435"/>
      <c r="B32" s="351" t="s">
        <v>523</v>
      </c>
      <c r="C32" s="437"/>
      <c r="D32" s="443"/>
      <c r="E32" s="359">
        <v>46162</v>
      </c>
      <c r="F32" s="353">
        <v>0.0077</v>
      </c>
      <c r="G32" s="396">
        <v>84.68</v>
      </c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62"/>
      <c r="V32" s="357">
        <f t="shared" si="1"/>
        <v>84.68</v>
      </c>
      <c r="X32" s="345"/>
    </row>
    <row r="33" spans="1:24" s="337" customFormat="1" ht="12.75" customHeight="1">
      <c r="A33" s="434">
        <v>14</v>
      </c>
      <c r="B33" s="346" t="s">
        <v>494</v>
      </c>
      <c r="C33" s="436" t="s">
        <v>524</v>
      </c>
      <c r="D33" s="448">
        <v>601694.77</v>
      </c>
      <c r="E33" s="358" t="s">
        <v>525</v>
      </c>
      <c r="F33" s="346" t="s">
        <v>491</v>
      </c>
      <c r="G33" s="348">
        <v>1000</v>
      </c>
      <c r="H33" s="348">
        <v>51236</v>
      </c>
      <c r="I33" s="348">
        <v>51236</v>
      </c>
      <c r="J33" s="348">
        <v>51236</v>
      </c>
      <c r="K33" s="348">
        <v>51236</v>
      </c>
      <c r="L33" s="348">
        <v>51236</v>
      </c>
      <c r="M33" s="348">
        <v>51236</v>
      </c>
      <c r="N33" s="348">
        <v>51236</v>
      </c>
      <c r="O33" s="348">
        <v>12818.77</v>
      </c>
      <c r="P33" s="348"/>
      <c r="Q33" s="348"/>
      <c r="R33" s="348"/>
      <c r="S33" s="348"/>
      <c r="T33" s="348"/>
      <c r="U33" s="349"/>
      <c r="V33" s="350">
        <f t="shared" si="1"/>
        <v>372470.77</v>
      </c>
      <c r="X33" s="345"/>
    </row>
    <row r="34" spans="1:24" s="337" customFormat="1" ht="12.75">
      <c r="A34" s="435"/>
      <c r="B34" s="351" t="s">
        <v>526</v>
      </c>
      <c r="C34" s="437"/>
      <c r="D34" s="449"/>
      <c r="E34" s="359">
        <v>42389</v>
      </c>
      <c r="F34" s="353">
        <v>0.0077</v>
      </c>
      <c r="G34" s="396">
        <v>4765.13</v>
      </c>
      <c r="H34" s="354">
        <v>3470</v>
      </c>
      <c r="I34" s="354">
        <v>3166</v>
      </c>
      <c r="J34" s="354">
        <v>2654</v>
      </c>
      <c r="K34" s="354">
        <v>2127</v>
      </c>
      <c r="L34" s="354">
        <v>1607</v>
      </c>
      <c r="M34" s="354">
        <v>1088</v>
      </c>
      <c r="N34" s="354">
        <v>570</v>
      </c>
      <c r="O34" s="354">
        <v>89</v>
      </c>
      <c r="P34" s="354"/>
      <c r="Q34" s="354"/>
      <c r="R34" s="354"/>
      <c r="S34" s="354"/>
      <c r="T34" s="354"/>
      <c r="U34" s="362"/>
      <c r="V34" s="357">
        <f t="shared" si="1"/>
        <v>19536.13</v>
      </c>
      <c r="X34" s="345"/>
    </row>
    <row r="35" spans="1:24" s="337" customFormat="1" ht="12.75" customHeight="1">
      <c r="A35" s="434">
        <v>15</v>
      </c>
      <c r="B35" s="346" t="s">
        <v>494</v>
      </c>
      <c r="C35" s="436" t="s">
        <v>527</v>
      </c>
      <c r="D35" s="442">
        <v>26669</v>
      </c>
      <c r="E35" s="347" t="s">
        <v>516</v>
      </c>
      <c r="F35" s="346" t="s">
        <v>491</v>
      </c>
      <c r="G35" s="348">
        <v>5080</v>
      </c>
      <c r="H35" s="348">
        <v>5080</v>
      </c>
      <c r="I35" s="348">
        <v>5080</v>
      </c>
      <c r="J35" s="348">
        <v>1269</v>
      </c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9"/>
      <c r="V35" s="350">
        <f t="shared" si="1"/>
        <v>16509</v>
      </c>
      <c r="X35" s="345"/>
    </row>
    <row r="36" spans="1:24" s="337" customFormat="1" ht="12.75">
      <c r="A36" s="435"/>
      <c r="B36" s="351" t="s">
        <v>528</v>
      </c>
      <c r="C36" s="437"/>
      <c r="D36" s="443"/>
      <c r="E36" s="352" t="s">
        <v>505</v>
      </c>
      <c r="F36" s="353">
        <v>0.0077</v>
      </c>
      <c r="G36" s="396">
        <v>202.53</v>
      </c>
      <c r="H36" s="354">
        <v>101</v>
      </c>
      <c r="I36" s="355">
        <v>56</v>
      </c>
      <c r="J36" s="355">
        <v>9</v>
      </c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6"/>
      <c r="V36" s="357">
        <f t="shared" si="1"/>
        <v>368.53</v>
      </c>
      <c r="X36" s="345"/>
    </row>
    <row r="37" spans="1:24" s="337" customFormat="1" ht="12.75">
      <c r="A37" s="434">
        <v>16</v>
      </c>
      <c r="B37" s="346" t="s">
        <v>494</v>
      </c>
      <c r="C37" s="436" t="s">
        <v>529</v>
      </c>
      <c r="D37" s="442">
        <v>1685028</v>
      </c>
      <c r="E37" s="358" t="s">
        <v>530</v>
      </c>
      <c r="F37" s="346" t="s">
        <v>491</v>
      </c>
      <c r="G37" s="348">
        <v>1000</v>
      </c>
      <c r="H37" s="348">
        <v>147784</v>
      </c>
      <c r="I37" s="348">
        <v>147784</v>
      </c>
      <c r="J37" s="348">
        <v>147784</v>
      </c>
      <c r="K37" s="348">
        <v>147784</v>
      </c>
      <c r="L37" s="348">
        <v>147784</v>
      </c>
      <c r="M37" s="348">
        <v>147784</v>
      </c>
      <c r="N37" s="348">
        <v>147784</v>
      </c>
      <c r="O37" s="348">
        <v>147784</v>
      </c>
      <c r="P37" s="348">
        <v>36956</v>
      </c>
      <c r="Q37" s="348"/>
      <c r="R37" s="348"/>
      <c r="S37" s="348"/>
      <c r="T37" s="348"/>
      <c r="U37" s="349"/>
      <c r="V37" s="350">
        <f t="shared" si="1"/>
        <v>1220228</v>
      </c>
      <c r="X37" s="345"/>
    </row>
    <row r="38" spans="1:24" s="337" customFormat="1" ht="12.75">
      <c r="A38" s="435"/>
      <c r="B38" s="351" t="s">
        <v>531</v>
      </c>
      <c r="C38" s="437"/>
      <c r="D38" s="443"/>
      <c r="E38" s="352" t="s">
        <v>532</v>
      </c>
      <c r="F38" s="353">
        <v>0.0077</v>
      </c>
      <c r="G38" s="396">
        <v>15375.02</v>
      </c>
      <c r="H38" s="354">
        <v>11432</v>
      </c>
      <c r="I38" s="354">
        <v>10629</v>
      </c>
      <c r="J38" s="354">
        <v>9158</v>
      </c>
      <c r="K38" s="354">
        <v>7633</v>
      </c>
      <c r="L38" s="355">
        <v>6134</v>
      </c>
      <c r="M38" s="355">
        <v>4636</v>
      </c>
      <c r="N38" s="355">
        <v>3148</v>
      </c>
      <c r="O38" s="355">
        <v>1639</v>
      </c>
      <c r="P38" s="355">
        <v>257</v>
      </c>
      <c r="Q38" s="355"/>
      <c r="R38" s="355"/>
      <c r="S38" s="355"/>
      <c r="T38" s="355"/>
      <c r="U38" s="356"/>
      <c r="V38" s="357">
        <f t="shared" si="1"/>
        <v>70041.02</v>
      </c>
      <c r="X38" s="345"/>
    </row>
    <row r="39" spans="1:24" s="337" customFormat="1" ht="12.75" customHeight="1">
      <c r="A39" s="434">
        <v>17</v>
      </c>
      <c r="B39" s="346" t="s">
        <v>494</v>
      </c>
      <c r="C39" s="436" t="s">
        <v>533</v>
      </c>
      <c r="D39" s="442">
        <v>270548</v>
      </c>
      <c r="E39" s="358" t="s">
        <v>530</v>
      </c>
      <c r="F39" s="346" t="s">
        <v>491</v>
      </c>
      <c r="G39" s="348">
        <v>37600</v>
      </c>
      <c r="H39" s="348">
        <v>37600</v>
      </c>
      <c r="I39" s="348">
        <v>37600</v>
      </c>
      <c r="J39" s="348">
        <v>37600</v>
      </c>
      <c r="K39" s="348">
        <v>7348</v>
      </c>
      <c r="L39" s="348"/>
      <c r="M39" s="348"/>
      <c r="N39" s="348"/>
      <c r="O39" s="348"/>
      <c r="P39" s="348"/>
      <c r="Q39" s="348"/>
      <c r="R39" s="348"/>
      <c r="S39" s="348"/>
      <c r="T39" s="348"/>
      <c r="U39" s="349"/>
      <c r="V39" s="350">
        <f t="shared" si="1"/>
        <v>157748</v>
      </c>
      <c r="X39" s="345"/>
    </row>
    <row r="40" spans="1:24" s="337" customFormat="1" ht="12.75">
      <c r="A40" s="435"/>
      <c r="B40" s="351" t="s">
        <v>534</v>
      </c>
      <c r="C40" s="437"/>
      <c r="D40" s="443"/>
      <c r="E40" s="352" t="s">
        <v>532</v>
      </c>
      <c r="F40" s="353">
        <v>0.0077</v>
      </c>
      <c r="G40" s="396">
        <v>1930.49</v>
      </c>
      <c r="H40" s="354">
        <v>1093</v>
      </c>
      <c r="I40" s="354">
        <v>777</v>
      </c>
      <c r="J40" s="354">
        <v>398</v>
      </c>
      <c r="K40" s="354">
        <v>56</v>
      </c>
      <c r="L40" s="355"/>
      <c r="M40" s="355"/>
      <c r="N40" s="355"/>
      <c r="O40" s="355"/>
      <c r="P40" s="355"/>
      <c r="Q40" s="355"/>
      <c r="R40" s="355"/>
      <c r="S40" s="355"/>
      <c r="T40" s="355"/>
      <c r="U40" s="356"/>
      <c r="V40" s="357">
        <f t="shared" si="1"/>
        <v>4254.49</v>
      </c>
      <c r="X40" s="345"/>
    </row>
    <row r="41" spans="1:24" s="337" customFormat="1" ht="12.75" customHeight="1">
      <c r="A41" s="434">
        <v>18</v>
      </c>
      <c r="B41" s="346" t="s">
        <v>494</v>
      </c>
      <c r="C41" s="436" t="s">
        <v>535</v>
      </c>
      <c r="D41" s="442">
        <v>1087860</v>
      </c>
      <c r="E41" s="358" t="s">
        <v>530</v>
      </c>
      <c r="F41" s="346" t="s">
        <v>491</v>
      </c>
      <c r="G41" s="348">
        <v>1000</v>
      </c>
      <c r="H41" s="348">
        <v>77196</v>
      </c>
      <c r="I41" s="348">
        <v>77196</v>
      </c>
      <c r="J41" s="348">
        <v>77196</v>
      </c>
      <c r="K41" s="348">
        <v>77196</v>
      </c>
      <c r="L41" s="348">
        <v>77196</v>
      </c>
      <c r="M41" s="348">
        <v>77196</v>
      </c>
      <c r="N41" s="348">
        <v>77196</v>
      </c>
      <c r="O41" s="348">
        <v>77196</v>
      </c>
      <c r="P41" s="348">
        <v>19292</v>
      </c>
      <c r="Q41" s="348"/>
      <c r="R41" s="348"/>
      <c r="S41" s="348"/>
      <c r="T41" s="348"/>
      <c r="U41" s="349"/>
      <c r="V41" s="350">
        <f t="shared" si="1"/>
        <v>637860</v>
      </c>
      <c r="X41" s="345"/>
    </row>
    <row r="42" spans="1:24" s="337" customFormat="1" ht="12.75">
      <c r="A42" s="435"/>
      <c r="B42" s="351" t="s">
        <v>536</v>
      </c>
      <c r="C42" s="437"/>
      <c r="D42" s="443"/>
      <c r="E42" s="352" t="s">
        <v>532</v>
      </c>
      <c r="F42" s="353">
        <v>0.0077</v>
      </c>
      <c r="G42" s="396">
        <v>8064.14</v>
      </c>
      <c r="H42" s="354">
        <v>5971</v>
      </c>
      <c r="I42" s="354">
        <v>5552</v>
      </c>
      <c r="J42" s="354">
        <v>4783</v>
      </c>
      <c r="K42" s="354">
        <v>3987</v>
      </c>
      <c r="L42" s="355">
        <v>3204</v>
      </c>
      <c r="M42" s="355">
        <v>2421</v>
      </c>
      <c r="N42" s="355">
        <v>1644</v>
      </c>
      <c r="O42" s="355">
        <v>856</v>
      </c>
      <c r="P42" s="355">
        <v>134</v>
      </c>
      <c r="Q42" s="355"/>
      <c r="R42" s="355"/>
      <c r="S42" s="355"/>
      <c r="T42" s="355"/>
      <c r="U42" s="356"/>
      <c r="V42" s="357">
        <f t="shared" si="1"/>
        <v>36616.14</v>
      </c>
      <c r="X42" s="345"/>
    </row>
    <row r="43" spans="1:24" s="337" customFormat="1" ht="12.75" customHeight="1">
      <c r="A43" s="434">
        <v>19</v>
      </c>
      <c r="B43" s="346" t="s">
        <v>494</v>
      </c>
      <c r="C43" s="436" t="s">
        <v>537</v>
      </c>
      <c r="D43" s="442">
        <v>2899373</v>
      </c>
      <c r="E43" s="358" t="s">
        <v>530</v>
      </c>
      <c r="F43" s="346" t="s">
        <v>491</v>
      </c>
      <c r="G43" s="348">
        <v>1000</v>
      </c>
      <c r="H43" s="348">
        <v>295076</v>
      </c>
      <c r="I43" s="348">
        <v>295076</v>
      </c>
      <c r="J43" s="348">
        <v>295076</v>
      </c>
      <c r="K43" s="348">
        <v>295076</v>
      </c>
      <c r="L43" s="348">
        <v>295076</v>
      </c>
      <c r="M43" s="348">
        <v>295076</v>
      </c>
      <c r="N43" s="348">
        <v>295076</v>
      </c>
      <c r="O43" s="348">
        <v>295076</v>
      </c>
      <c r="P43" s="348">
        <v>73765</v>
      </c>
      <c r="Q43" s="348"/>
      <c r="R43" s="348"/>
      <c r="S43" s="348"/>
      <c r="T43" s="348"/>
      <c r="U43" s="349"/>
      <c r="V43" s="350">
        <f t="shared" si="1"/>
        <v>2435373</v>
      </c>
      <c r="X43" s="345"/>
    </row>
    <row r="44" spans="1:24" s="337" customFormat="1" ht="12.75">
      <c r="A44" s="435"/>
      <c r="B44" s="351" t="s">
        <v>538</v>
      </c>
      <c r="C44" s="437"/>
      <c r="D44" s="443"/>
      <c r="E44" s="352" t="s">
        <v>532</v>
      </c>
      <c r="F44" s="353">
        <v>0.0077</v>
      </c>
      <c r="G44" s="396">
        <v>30687.81</v>
      </c>
      <c r="H44" s="354">
        <v>22824</v>
      </c>
      <c r="I44" s="354">
        <v>21223</v>
      </c>
      <c r="J44" s="354">
        <v>18284</v>
      </c>
      <c r="K44" s="354">
        <v>15239</v>
      </c>
      <c r="L44" s="355">
        <v>12248</v>
      </c>
      <c r="M44" s="355">
        <v>9256</v>
      </c>
      <c r="N44" s="355">
        <v>6285</v>
      </c>
      <c r="O44" s="355">
        <v>3272</v>
      </c>
      <c r="P44" s="355">
        <v>512</v>
      </c>
      <c r="Q44" s="355"/>
      <c r="R44" s="355"/>
      <c r="S44" s="355"/>
      <c r="T44" s="355"/>
      <c r="U44" s="356"/>
      <c r="V44" s="357">
        <f t="shared" si="1"/>
        <v>139830.81</v>
      </c>
      <c r="X44" s="345"/>
    </row>
    <row r="45" spans="1:24" s="337" customFormat="1" ht="12.75" customHeight="1">
      <c r="A45" s="434">
        <v>20</v>
      </c>
      <c r="B45" s="346" t="s">
        <v>494</v>
      </c>
      <c r="C45" s="436" t="s">
        <v>539</v>
      </c>
      <c r="D45" s="442">
        <v>863700</v>
      </c>
      <c r="E45" s="358" t="s">
        <v>530</v>
      </c>
      <c r="F45" s="346" t="s">
        <v>491</v>
      </c>
      <c r="G45" s="348">
        <v>1000</v>
      </c>
      <c r="H45" s="348">
        <v>61224</v>
      </c>
      <c r="I45" s="348">
        <v>61224</v>
      </c>
      <c r="J45" s="348">
        <v>61224</v>
      </c>
      <c r="K45" s="348">
        <v>61224</v>
      </c>
      <c r="L45" s="348">
        <v>61224</v>
      </c>
      <c r="M45" s="348">
        <v>61224</v>
      </c>
      <c r="N45" s="348">
        <v>61224</v>
      </c>
      <c r="O45" s="348">
        <v>61224</v>
      </c>
      <c r="P45" s="348">
        <v>15308</v>
      </c>
      <c r="Q45" s="348"/>
      <c r="R45" s="348"/>
      <c r="S45" s="348"/>
      <c r="T45" s="348"/>
      <c r="U45" s="349"/>
      <c r="V45" s="350">
        <f t="shared" si="1"/>
        <v>506100</v>
      </c>
      <c r="X45" s="345"/>
    </row>
    <row r="46" spans="1:24" s="337" customFormat="1" ht="12.75">
      <c r="A46" s="435"/>
      <c r="B46" s="351" t="s">
        <v>540</v>
      </c>
      <c r="C46" s="437"/>
      <c r="D46" s="443"/>
      <c r="E46" s="352" t="s">
        <v>532</v>
      </c>
      <c r="F46" s="353">
        <v>0.0077</v>
      </c>
      <c r="G46" s="396">
        <v>6398.18</v>
      </c>
      <c r="H46" s="354">
        <v>4736</v>
      </c>
      <c r="I46" s="354">
        <v>4403</v>
      </c>
      <c r="J46" s="354">
        <v>3794</v>
      </c>
      <c r="K46" s="354">
        <v>3162</v>
      </c>
      <c r="L46" s="355">
        <v>2541</v>
      </c>
      <c r="M46" s="355">
        <v>1920</v>
      </c>
      <c r="N46" s="355">
        <v>1304</v>
      </c>
      <c r="O46" s="355">
        <v>679</v>
      </c>
      <c r="P46" s="355">
        <v>106</v>
      </c>
      <c r="Q46" s="355"/>
      <c r="R46" s="355"/>
      <c r="S46" s="355"/>
      <c r="T46" s="355"/>
      <c r="U46" s="356"/>
      <c r="V46" s="357">
        <f t="shared" si="1"/>
        <v>29043.18</v>
      </c>
      <c r="X46" s="345"/>
    </row>
    <row r="47" spans="1:24" s="337" customFormat="1" ht="12.75" customHeight="1">
      <c r="A47" s="434">
        <v>21</v>
      </c>
      <c r="B47" s="346" t="s">
        <v>494</v>
      </c>
      <c r="C47" s="436" t="s">
        <v>541</v>
      </c>
      <c r="D47" s="448">
        <v>530610.36</v>
      </c>
      <c r="E47" s="358" t="s">
        <v>530</v>
      </c>
      <c r="F47" s="346" t="s">
        <v>491</v>
      </c>
      <c r="G47" s="348">
        <v>1000</v>
      </c>
      <c r="H47" s="348">
        <v>64196</v>
      </c>
      <c r="I47" s="348">
        <v>64196</v>
      </c>
      <c r="J47" s="348">
        <v>64196</v>
      </c>
      <c r="K47" s="348">
        <v>64196</v>
      </c>
      <c r="L47" s="348">
        <v>64196</v>
      </c>
      <c r="M47" s="348">
        <v>64196</v>
      </c>
      <c r="N47" s="348">
        <v>64196</v>
      </c>
      <c r="O47" s="348">
        <v>64196</v>
      </c>
      <c r="P47" s="348">
        <v>16042.36</v>
      </c>
      <c r="Q47" s="348"/>
      <c r="R47" s="348"/>
      <c r="S47" s="348"/>
      <c r="T47" s="348"/>
      <c r="U47" s="349"/>
      <c r="V47" s="350">
        <f t="shared" si="1"/>
        <v>530610.36</v>
      </c>
      <c r="X47" s="345"/>
    </row>
    <row r="48" spans="1:24" s="337" customFormat="1" ht="12.75">
      <c r="A48" s="435"/>
      <c r="B48" s="351" t="s">
        <v>542</v>
      </c>
      <c r="C48" s="437"/>
      <c r="D48" s="449"/>
      <c r="E48" s="352" t="s">
        <v>532</v>
      </c>
      <c r="F48" s="353">
        <v>0.0077</v>
      </c>
      <c r="G48" s="396">
        <v>6868.14</v>
      </c>
      <c r="H48" s="354">
        <v>4966</v>
      </c>
      <c r="I48" s="354">
        <v>4617</v>
      </c>
      <c r="J48" s="354">
        <v>3978</v>
      </c>
      <c r="K48" s="354">
        <v>3315</v>
      </c>
      <c r="L48" s="355">
        <v>2665</v>
      </c>
      <c r="M48" s="355">
        <v>2014</v>
      </c>
      <c r="N48" s="355">
        <v>1367</v>
      </c>
      <c r="O48" s="355">
        <v>712</v>
      </c>
      <c r="P48" s="355">
        <v>111</v>
      </c>
      <c r="Q48" s="355"/>
      <c r="R48" s="355"/>
      <c r="S48" s="355"/>
      <c r="T48" s="355"/>
      <c r="U48" s="356"/>
      <c r="V48" s="357">
        <f t="shared" si="1"/>
        <v>30613.14</v>
      </c>
      <c r="X48" s="345"/>
    </row>
    <row r="49" spans="1:24" s="337" customFormat="1" ht="12.75" customHeight="1">
      <c r="A49" s="434">
        <v>22</v>
      </c>
      <c r="B49" s="346" t="s">
        <v>494</v>
      </c>
      <c r="C49" s="436" t="s">
        <v>543</v>
      </c>
      <c r="D49" s="442">
        <v>2420645</v>
      </c>
      <c r="E49" s="347" t="s">
        <v>544</v>
      </c>
      <c r="F49" s="346" t="s">
        <v>491</v>
      </c>
      <c r="G49" s="348">
        <v>1000</v>
      </c>
      <c r="H49" s="348">
        <v>157124</v>
      </c>
      <c r="I49" s="348">
        <v>157124</v>
      </c>
      <c r="J49" s="348">
        <v>157124</v>
      </c>
      <c r="K49" s="348">
        <v>157124</v>
      </c>
      <c r="L49" s="348">
        <v>157124</v>
      </c>
      <c r="M49" s="348">
        <v>157124</v>
      </c>
      <c r="N49" s="348">
        <v>157124</v>
      </c>
      <c r="O49" s="348">
        <v>157124</v>
      </c>
      <c r="P49" s="348">
        <v>157124</v>
      </c>
      <c r="Q49" s="348">
        <v>157124</v>
      </c>
      <c r="R49" s="348">
        <v>157124</v>
      </c>
      <c r="S49" s="348">
        <v>157124</v>
      </c>
      <c r="T49" s="348">
        <v>157124</v>
      </c>
      <c r="U49" s="349">
        <v>39263</v>
      </c>
      <c r="V49" s="350">
        <f t="shared" si="1"/>
        <v>2082875</v>
      </c>
      <c r="X49" s="345"/>
    </row>
    <row r="50" spans="1:24" s="337" customFormat="1" ht="12.75">
      <c r="A50" s="435"/>
      <c r="B50" s="351" t="s">
        <v>545</v>
      </c>
      <c r="C50" s="437"/>
      <c r="D50" s="443"/>
      <c r="E50" s="352" t="s">
        <v>546</v>
      </c>
      <c r="F50" s="353">
        <v>0.0077</v>
      </c>
      <c r="G50" s="396">
        <v>26256.19</v>
      </c>
      <c r="H50" s="354">
        <v>19723</v>
      </c>
      <c r="I50" s="354">
        <v>19266</v>
      </c>
      <c r="J50" s="354">
        <v>17723</v>
      </c>
      <c r="K50" s="354">
        <v>16080</v>
      </c>
      <c r="L50" s="354">
        <v>14487</v>
      </c>
      <c r="M50" s="354">
        <v>12894</v>
      </c>
      <c r="N50" s="354">
        <v>11333</v>
      </c>
      <c r="O50" s="354">
        <v>9708</v>
      </c>
      <c r="P50" s="354">
        <v>8115</v>
      </c>
      <c r="Q50" s="354">
        <v>6522</v>
      </c>
      <c r="R50" s="354">
        <v>4944</v>
      </c>
      <c r="S50" s="354">
        <v>3335</v>
      </c>
      <c r="T50" s="354">
        <v>1742</v>
      </c>
      <c r="U50" s="362">
        <v>273</v>
      </c>
      <c r="V50" s="357">
        <f t="shared" si="1"/>
        <v>172401.19</v>
      </c>
      <c r="X50" s="345"/>
    </row>
    <row r="51" spans="1:24" s="337" customFormat="1" ht="12.75" customHeight="1">
      <c r="A51" s="434">
        <v>23</v>
      </c>
      <c r="B51" s="346" t="s">
        <v>494</v>
      </c>
      <c r="C51" s="436" t="s">
        <v>547</v>
      </c>
      <c r="D51" s="442">
        <v>45000</v>
      </c>
      <c r="E51" s="347" t="s">
        <v>544</v>
      </c>
      <c r="F51" s="346" t="s">
        <v>491</v>
      </c>
      <c r="G51" s="348">
        <v>4188</v>
      </c>
      <c r="H51" s="348">
        <v>4188</v>
      </c>
      <c r="I51" s="348">
        <v>4188</v>
      </c>
      <c r="J51" s="348">
        <v>4188</v>
      </c>
      <c r="K51" s="348">
        <v>4188</v>
      </c>
      <c r="L51" s="348">
        <v>4188</v>
      </c>
      <c r="M51" s="348">
        <v>4188</v>
      </c>
      <c r="N51" s="348">
        <v>4188</v>
      </c>
      <c r="O51" s="348">
        <v>4188</v>
      </c>
      <c r="P51" s="348">
        <v>1026</v>
      </c>
      <c r="Q51" s="348"/>
      <c r="R51" s="348"/>
      <c r="S51" s="348"/>
      <c r="T51" s="348"/>
      <c r="U51" s="349"/>
      <c r="V51" s="350">
        <f t="shared" si="1"/>
        <v>38718</v>
      </c>
      <c r="X51" s="345"/>
    </row>
    <row r="52" spans="1:24" s="337" customFormat="1" ht="12.75">
      <c r="A52" s="435"/>
      <c r="B52" s="351" t="s">
        <v>548</v>
      </c>
      <c r="C52" s="437"/>
      <c r="D52" s="443"/>
      <c r="E52" s="352" t="s">
        <v>546</v>
      </c>
      <c r="F52" s="353">
        <v>0.0077</v>
      </c>
      <c r="G52" s="396">
        <v>480.89</v>
      </c>
      <c r="H52" s="354">
        <v>326</v>
      </c>
      <c r="I52" s="354">
        <v>301</v>
      </c>
      <c r="J52" s="354">
        <v>259</v>
      </c>
      <c r="K52" s="354">
        <v>216</v>
      </c>
      <c r="L52" s="354">
        <v>174</v>
      </c>
      <c r="M52" s="354">
        <v>131</v>
      </c>
      <c r="N52" s="354">
        <v>89</v>
      </c>
      <c r="O52" s="354">
        <v>46</v>
      </c>
      <c r="P52" s="354">
        <v>7</v>
      </c>
      <c r="Q52" s="354"/>
      <c r="R52" s="354"/>
      <c r="S52" s="354"/>
      <c r="T52" s="354"/>
      <c r="U52" s="362"/>
      <c r="V52" s="357">
        <f t="shared" si="1"/>
        <v>2029.8899999999999</v>
      </c>
      <c r="X52" s="345"/>
    </row>
    <row r="53" spans="1:24" s="337" customFormat="1" ht="12.75" customHeight="1">
      <c r="A53" s="434">
        <v>24</v>
      </c>
      <c r="B53" s="346" t="s">
        <v>494</v>
      </c>
      <c r="C53" s="436" t="s">
        <v>549</v>
      </c>
      <c r="D53" s="442">
        <v>3707590</v>
      </c>
      <c r="E53" s="347" t="s">
        <v>544</v>
      </c>
      <c r="F53" s="346" t="s">
        <v>491</v>
      </c>
      <c r="G53" s="348">
        <v>1000</v>
      </c>
      <c r="H53" s="348">
        <v>240696</v>
      </c>
      <c r="I53" s="348">
        <v>240696</v>
      </c>
      <c r="J53" s="348">
        <v>240696</v>
      </c>
      <c r="K53" s="348">
        <v>240696</v>
      </c>
      <c r="L53" s="348">
        <v>240696</v>
      </c>
      <c r="M53" s="348">
        <v>240696</v>
      </c>
      <c r="N53" s="348">
        <v>240696</v>
      </c>
      <c r="O53" s="348">
        <v>240696</v>
      </c>
      <c r="P53" s="348">
        <v>240696</v>
      </c>
      <c r="Q53" s="348">
        <v>240696</v>
      </c>
      <c r="R53" s="348">
        <v>240696</v>
      </c>
      <c r="S53" s="348">
        <v>240696</v>
      </c>
      <c r="T53" s="348">
        <v>240696</v>
      </c>
      <c r="U53" s="349">
        <v>60198</v>
      </c>
      <c r="V53" s="350">
        <f t="shared" si="1"/>
        <v>3190246</v>
      </c>
      <c r="X53" s="345"/>
    </row>
    <row r="54" spans="1:24" s="337" customFormat="1" ht="12.75">
      <c r="A54" s="435"/>
      <c r="B54" s="351" t="s">
        <v>550</v>
      </c>
      <c r="C54" s="437"/>
      <c r="D54" s="443"/>
      <c r="E54" s="352" t="s">
        <v>546</v>
      </c>
      <c r="F54" s="353">
        <v>0.0077</v>
      </c>
      <c r="G54" s="396">
        <v>40216.33</v>
      </c>
      <c r="H54" s="354">
        <v>30213</v>
      </c>
      <c r="I54" s="354">
        <v>29514</v>
      </c>
      <c r="J54" s="354">
        <v>27150</v>
      </c>
      <c r="K54" s="354">
        <v>24633</v>
      </c>
      <c r="L54" s="354">
        <v>22193</v>
      </c>
      <c r="M54" s="354">
        <v>19752</v>
      </c>
      <c r="N54" s="354">
        <v>17362</v>
      </c>
      <c r="O54" s="354">
        <v>14872</v>
      </c>
      <c r="P54" s="354">
        <v>12431</v>
      </c>
      <c r="Q54" s="354">
        <v>9991</v>
      </c>
      <c r="R54" s="354">
        <v>7574</v>
      </c>
      <c r="S54" s="354">
        <v>5110</v>
      </c>
      <c r="T54" s="354">
        <v>2670</v>
      </c>
      <c r="U54" s="362">
        <v>418</v>
      </c>
      <c r="V54" s="357">
        <f t="shared" si="1"/>
        <v>264099.33</v>
      </c>
      <c r="X54" s="345"/>
    </row>
    <row r="55" spans="1:24" s="337" customFormat="1" ht="12.75" customHeight="1">
      <c r="A55" s="434">
        <v>25</v>
      </c>
      <c r="B55" s="346" t="s">
        <v>494</v>
      </c>
      <c r="C55" s="436" t="s">
        <v>551</v>
      </c>
      <c r="D55" s="442">
        <v>4100810</v>
      </c>
      <c r="E55" s="347" t="s">
        <v>544</v>
      </c>
      <c r="F55" s="346" t="s">
        <v>491</v>
      </c>
      <c r="G55" s="348">
        <v>1000</v>
      </c>
      <c r="H55" s="348">
        <v>266236</v>
      </c>
      <c r="I55" s="348">
        <v>266236</v>
      </c>
      <c r="J55" s="348">
        <v>266236</v>
      </c>
      <c r="K55" s="348">
        <v>266236</v>
      </c>
      <c r="L55" s="348">
        <v>266236</v>
      </c>
      <c r="M55" s="348">
        <v>266236</v>
      </c>
      <c r="N55" s="348">
        <v>266236</v>
      </c>
      <c r="O55" s="348">
        <v>266236</v>
      </c>
      <c r="P55" s="348">
        <v>266236</v>
      </c>
      <c r="Q55" s="348">
        <v>266236</v>
      </c>
      <c r="R55" s="348">
        <v>266236</v>
      </c>
      <c r="S55" s="348">
        <v>266236</v>
      </c>
      <c r="T55" s="348">
        <v>266236</v>
      </c>
      <c r="U55" s="349">
        <v>66534</v>
      </c>
      <c r="V55" s="350">
        <f t="shared" si="1"/>
        <v>3528602</v>
      </c>
      <c r="X55" s="345"/>
    </row>
    <row r="56" spans="1:24" s="337" customFormat="1" ht="12.75">
      <c r="A56" s="435"/>
      <c r="B56" s="351" t="s">
        <v>552</v>
      </c>
      <c r="C56" s="437"/>
      <c r="D56" s="443"/>
      <c r="E56" s="352" t="s">
        <v>546</v>
      </c>
      <c r="F56" s="353">
        <v>0.0077</v>
      </c>
      <c r="G56" s="396">
        <v>44481.87</v>
      </c>
      <c r="H56" s="354">
        <v>33418</v>
      </c>
      <c r="I56" s="354">
        <v>32645</v>
      </c>
      <c r="J56" s="354">
        <v>30031</v>
      </c>
      <c r="K56" s="354">
        <v>27246</v>
      </c>
      <c r="L56" s="354">
        <v>24547</v>
      </c>
      <c r="M56" s="354">
        <v>21848</v>
      </c>
      <c r="N56" s="354">
        <v>19204</v>
      </c>
      <c r="O56" s="354">
        <v>16449</v>
      </c>
      <c r="P56" s="354">
        <v>13750</v>
      </c>
      <c r="Q56" s="354">
        <v>11050</v>
      </c>
      <c r="R56" s="354">
        <v>8377</v>
      </c>
      <c r="S56" s="354">
        <v>5652</v>
      </c>
      <c r="T56" s="354">
        <v>2952</v>
      </c>
      <c r="U56" s="362">
        <v>462</v>
      </c>
      <c r="V56" s="357">
        <f t="shared" si="1"/>
        <v>292112.87</v>
      </c>
      <c r="X56" s="345"/>
    </row>
    <row r="57" spans="1:24" s="337" customFormat="1" ht="12.75" customHeight="1">
      <c r="A57" s="434">
        <v>26</v>
      </c>
      <c r="B57" s="346" t="s">
        <v>494</v>
      </c>
      <c r="C57" s="436" t="s">
        <v>553</v>
      </c>
      <c r="D57" s="442">
        <v>300000</v>
      </c>
      <c r="E57" s="347" t="s">
        <v>544</v>
      </c>
      <c r="F57" s="346" t="s">
        <v>491</v>
      </c>
      <c r="G57" s="348">
        <v>27908</v>
      </c>
      <c r="H57" s="348">
        <v>27908</v>
      </c>
      <c r="I57" s="348">
        <v>27908</v>
      </c>
      <c r="J57" s="348">
        <v>27908</v>
      </c>
      <c r="K57" s="348">
        <v>27908</v>
      </c>
      <c r="L57" s="348">
        <v>27908</v>
      </c>
      <c r="M57" s="348">
        <v>27908</v>
      </c>
      <c r="N57" s="348">
        <v>27908</v>
      </c>
      <c r="O57" s="348">
        <v>27908</v>
      </c>
      <c r="P57" s="348">
        <v>6966</v>
      </c>
      <c r="Q57" s="348"/>
      <c r="R57" s="348"/>
      <c r="S57" s="348"/>
      <c r="T57" s="348"/>
      <c r="U57" s="349"/>
      <c r="V57" s="350">
        <f t="shared" si="1"/>
        <v>258138</v>
      </c>
      <c r="X57" s="345"/>
    </row>
    <row r="58" spans="1:24" s="337" customFormat="1" ht="12.75">
      <c r="A58" s="435"/>
      <c r="B58" s="351" t="s">
        <v>554</v>
      </c>
      <c r="C58" s="437"/>
      <c r="D58" s="443"/>
      <c r="E58" s="352" t="s">
        <v>546</v>
      </c>
      <c r="F58" s="353">
        <v>0.0077</v>
      </c>
      <c r="G58" s="396">
        <v>3206.19</v>
      </c>
      <c r="H58" s="354">
        <v>2170</v>
      </c>
      <c r="I58" s="354">
        <v>2007</v>
      </c>
      <c r="J58" s="354">
        <v>1729</v>
      </c>
      <c r="K58" s="354">
        <v>1441</v>
      </c>
      <c r="L58" s="354">
        <v>1158</v>
      </c>
      <c r="M58" s="354">
        <v>875</v>
      </c>
      <c r="N58" s="354">
        <v>594</v>
      </c>
      <c r="O58" s="354">
        <v>309</v>
      </c>
      <c r="P58" s="354">
        <v>48</v>
      </c>
      <c r="Q58" s="354"/>
      <c r="R58" s="354"/>
      <c r="S58" s="354"/>
      <c r="T58" s="354"/>
      <c r="U58" s="362"/>
      <c r="V58" s="357">
        <f t="shared" si="1"/>
        <v>13537.19</v>
      </c>
      <c r="X58" s="345"/>
    </row>
    <row r="59" spans="1:24" s="337" customFormat="1" ht="12.75" customHeight="1">
      <c r="A59" s="434">
        <v>27</v>
      </c>
      <c r="B59" s="346" t="s">
        <v>494</v>
      </c>
      <c r="C59" s="436" t="s">
        <v>555</v>
      </c>
      <c r="D59" s="442">
        <v>202945</v>
      </c>
      <c r="E59" s="347" t="s">
        <v>556</v>
      </c>
      <c r="F59" s="346" t="s">
        <v>491</v>
      </c>
      <c r="G59" s="348">
        <v>17648</v>
      </c>
      <c r="H59" s="348">
        <v>17648</v>
      </c>
      <c r="I59" s="348">
        <v>17648</v>
      </c>
      <c r="J59" s="348">
        <v>17648</v>
      </c>
      <c r="K59" s="348">
        <v>17648</v>
      </c>
      <c r="L59" s="348">
        <v>17648</v>
      </c>
      <c r="M59" s="348">
        <v>17648</v>
      </c>
      <c r="N59" s="348">
        <v>17648</v>
      </c>
      <c r="O59" s="348">
        <v>17648</v>
      </c>
      <c r="P59" s="348">
        <v>8817</v>
      </c>
      <c r="Q59" s="348"/>
      <c r="R59" s="348"/>
      <c r="S59" s="348"/>
      <c r="T59" s="348"/>
      <c r="U59" s="349"/>
      <c r="V59" s="350">
        <f t="shared" si="1"/>
        <v>167649</v>
      </c>
      <c r="X59" s="345"/>
    </row>
    <row r="60" spans="1:24" s="337" customFormat="1" ht="12.75">
      <c r="A60" s="435"/>
      <c r="B60" s="351" t="s">
        <v>557</v>
      </c>
      <c r="C60" s="437"/>
      <c r="D60" s="443"/>
      <c r="E60" s="352" t="s">
        <v>558</v>
      </c>
      <c r="F60" s="353">
        <v>0.0077</v>
      </c>
      <c r="G60" s="396">
        <v>2082.66</v>
      </c>
      <c r="H60" s="354">
        <v>1415</v>
      </c>
      <c r="I60" s="354">
        <v>1314</v>
      </c>
      <c r="J60" s="354">
        <v>1138</v>
      </c>
      <c r="K60" s="354">
        <v>956</v>
      </c>
      <c r="L60" s="354">
        <v>777</v>
      </c>
      <c r="M60" s="354">
        <v>598</v>
      </c>
      <c r="N60" s="354">
        <v>421</v>
      </c>
      <c r="O60" s="354">
        <v>240</v>
      </c>
      <c r="P60" s="354">
        <v>63</v>
      </c>
      <c r="Q60" s="354"/>
      <c r="R60" s="354"/>
      <c r="S60" s="354"/>
      <c r="T60" s="354"/>
      <c r="U60" s="362"/>
      <c r="V60" s="357">
        <f t="shared" si="1"/>
        <v>9004.66</v>
      </c>
      <c r="X60" s="345"/>
    </row>
    <row r="61" spans="1:24" s="337" customFormat="1" ht="12.75" customHeight="1">
      <c r="A61" s="434">
        <v>28</v>
      </c>
      <c r="B61" s="346" t="s">
        <v>494</v>
      </c>
      <c r="C61" s="436" t="s">
        <v>559</v>
      </c>
      <c r="D61" s="442">
        <v>219310</v>
      </c>
      <c r="E61" s="347" t="s">
        <v>556</v>
      </c>
      <c r="F61" s="346" t="s">
        <v>491</v>
      </c>
      <c r="G61" s="348">
        <v>19940</v>
      </c>
      <c r="H61" s="348">
        <v>19940</v>
      </c>
      <c r="I61" s="348">
        <v>19940</v>
      </c>
      <c r="J61" s="348">
        <v>19940</v>
      </c>
      <c r="K61" s="348">
        <v>19940</v>
      </c>
      <c r="L61" s="348">
        <v>19940</v>
      </c>
      <c r="M61" s="348">
        <v>19940</v>
      </c>
      <c r="N61" s="348">
        <v>19940</v>
      </c>
      <c r="O61" s="348">
        <v>19940</v>
      </c>
      <c r="P61" s="348">
        <v>9940</v>
      </c>
      <c r="Q61" s="348"/>
      <c r="R61" s="348"/>
      <c r="S61" s="348"/>
      <c r="T61" s="348"/>
      <c r="U61" s="349"/>
      <c r="V61" s="350">
        <f t="shared" si="1"/>
        <v>189400</v>
      </c>
      <c r="X61" s="345"/>
    </row>
    <row r="62" spans="1:24" s="337" customFormat="1" ht="12.75">
      <c r="A62" s="435"/>
      <c r="B62" s="351" t="s">
        <v>560</v>
      </c>
      <c r="C62" s="437"/>
      <c r="D62" s="443"/>
      <c r="E62" s="352" t="s">
        <v>558</v>
      </c>
      <c r="F62" s="353">
        <v>0.0077</v>
      </c>
      <c r="G62" s="396">
        <v>2352.83</v>
      </c>
      <c r="H62" s="354">
        <v>1599</v>
      </c>
      <c r="I62" s="354">
        <v>1484</v>
      </c>
      <c r="J62" s="354">
        <v>1286</v>
      </c>
      <c r="K62" s="354">
        <v>1080</v>
      </c>
      <c r="L62" s="354">
        <v>878</v>
      </c>
      <c r="M62" s="354">
        <v>676</v>
      </c>
      <c r="N62" s="354">
        <v>475</v>
      </c>
      <c r="O62" s="354">
        <v>271</v>
      </c>
      <c r="P62" s="354">
        <v>71</v>
      </c>
      <c r="Q62" s="354"/>
      <c r="R62" s="354"/>
      <c r="S62" s="354"/>
      <c r="T62" s="354"/>
      <c r="U62" s="362"/>
      <c r="V62" s="357">
        <f t="shared" si="1"/>
        <v>10172.83</v>
      </c>
      <c r="X62" s="345"/>
    </row>
    <row r="63" spans="1:24" s="337" customFormat="1" ht="12.75" customHeight="1">
      <c r="A63" s="434">
        <v>29</v>
      </c>
      <c r="B63" s="346" t="s">
        <v>494</v>
      </c>
      <c r="C63" s="436" t="s">
        <v>561</v>
      </c>
      <c r="D63" s="442">
        <v>70958</v>
      </c>
      <c r="E63" s="347" t="s">
        <v>562</v>
      </c>
      <c r="F63" s="346" t="s">
        <v>491</v>
      </c>
      <c r="G63" s="348">
        <v>6452</v>
      </c>
      <c r="H63" s="348">
        <v>6452</v>
      </c>
      <c r="I63" s="348">
        <v>6452</v>
      </c>
      <c r="J63" s="348">
        <v>6452</v>
      </c>
      <c r="K63" s="348">
        <v>6452</v>
      </c>
      <c r="L63" s="348">
        <v>6452</v>
      </c>
      <c r="M63" s="348">
        <v>6452</v>
      </c>
      <c r="N63" s="348">
        <v>6452</v>
      </c>
      <c r="O63" s="348">
        <v>6452</v>
      </c>
      <c r="P63" s="348">
        <v>3212</v>
      </c>
      <c r="Q63" s="348"/>
      <c r="R63" s="348"/>
      <c r="S63" s="348"/>
      <c r="T63" s="348"/>
      <c r="U63" s="349"/>
      <c r="V63" s="350">
        <f t="shared" si="1"/>
        <v>61280</v>
      </c>
      <c r="X63" s="345"/>
    </row>
    <row r="64" spans="1:24" s="337" customFormat="1" ht="12.75">
      <c r="A64" s="435"/>
      <c r="B64" s="351" t="s">
        <v>563</v>
      </c>
      <c r="C64" s="437"/>
      <c r="D64" s="443"/>
      <c r="E64" s="352" t="s">
        <v>558</v>
      </c>
      <c r="F64" s="353">
        <v>0.0077</v>
      </c>
      <c r="G64" s="396">
        <v>761.25</v>
      </c>
      <c r="H64" s="354">
        <v>517</v>
      </c>
      <c r="I64" s="354">
        <v>480</v>
      </c>
      <c r="J64" s="354">
        <v>416</v>
      </c>
      <c r="K64" s="354">
        <v>349</v>
      </c>
      <c r="L64" s="354">
        <v>284</v>
      </c>
      <c r="M64" s="354">
        <v>219</v>
      </c>
      <c r="N64" s="354">
        <v>154</v>
      </c>
      <c r="O64" s="354">
        <v>88</v>
      </c>
      <c r="P64" s="354">
        <v>23</v>
      </c>
      <c r="Q64" s="354"/>
      <c r="R64" s="354"/>
      <c r="S64" s="354"/>
      <c r="T64" s="354"/>
      <c r="U64" s="362"/>
      <c r="V64" s="357">
        <f t="shared" si="1"/>
        <v>3291.25</v>
      </c>
      <c r="X64" s="345"/>
    </row>
    <row r="65" spans="1:24" s="337" customFormat="1" ht="12.75" customHeight="1">
      <c r="A65" s="434">
        <v>30</v>
      </c>
      <c r="B65" s="346" t="s">
        <v>494</v>
      </c>
      <c r="C65" s="436" t="s">
        <v>564</v>
      </c>
      <c r="D65" s="442">
        <v>710715</v>
      </c>
      <c r="E65" s="347" t="s">
        <v>562</v>
      </c>
      <c r="F65" s="346" t="s">
        <v>491</v>
      </c>
      <c r="G65" s="348">
        <v>1000</v>
      </c>
      <c r="H65" s="348">
        <v>44724</v>
      </c>
      <c r="I65" s="348">
        <v>44724</v>
      </c>
      <c r="J65" s="348">
        <v>44724</v>
      </c>
      <c r="K65" s="348">
        <v>44724</v>
      </c>
      <c r="L65" s="348">
        <v>44724</v>
      </c>
      <c r="M65" s="348">
        <v>44724</v>
      </c>
      <c r="N65" s="348">
        <v>44724</v>
      </c>
      <c r="O65" s="348">
        <v>44724</v>
      </c>
      <c r="P65" s="348">
        <v>44724</v>
      </c>
      <c r="Q65" s="348">
        <v>44724</v>
      </c>
      <c r="R65" s="348">
        <v>44724</v>
      </c>
      <c r="S65" s="348">
        <v>44724</v>
      </c>
      <c r="T65" s="348">
        <v>44724</v>
      </c>
      <c r="U65" s="349">
        <v>33539</v>
      </c>
      <c r="V65" s="350">
        <f t="shared" si="1"/>
        <v>615951</v>
      </c>
      <c r="X65" s="345"/>
    </row>
    <row r="66" spans="1:24" s="337" customFormat="1" ht="12.75">
      <c r="A66" s="435"/>
      <c r="B66" s="351" t="s">
        <v>565</v>
      </c>
      <c r="C66" s="437"/>
      <c r="D66" s="443"/>
      <c r="E66" s="352" t="s">
        <v>566</v>
      </c>
      <c r="F66" s="353">
        <v>0.0077</v>
      </c>
      <c r="G66" s="396">
        <v>7760.05</v>
      </c>
      <c r="H66" s="354">
        <v>5830</v>
      </c>
      <c r="I66" s="354">
        <v>5711</v>
      </c>
      <c r="J66" s="354">
        <v>5272</v>
      </c>
      <c r="K66" s="354">
        <v>4804</v>
      </c>
      <c r="L66" s="354">
        <v>4350</v>
      </c>
      <c r="M66" s="354">
        <v>3897</v>
      </c>
      <c r="N66" s="354">
        <v>3453</v>
      </c>
      <c r="O66" s="354">
        <v>2990</v>
      </c>
      <c r="P66" s="354">
        <v>2536</v>
      </c>
      <c r="Q66" s="354">
        <v>2083</v>
      </c>
      <c r="R66" s="354">
        <v>1635</v>
      </c>
      <c r="S66" s="354">
        <v>1176</v>
      </c>
      <c r="T66" s="354">
        <v>723</v>
      </c>
      <c r="U66" s="362">
        <v>269</v>
      </c>
      <c r="V66" s="357">
        <f t="shared" si="1"/>
        <v>52489.05</v>
      </c>
      <c r="X66" s="345"/>
    </row>
    <row r="67" spans="1:24" s="337" customFormat="1" ht="12.75" customHeight="1">
      <c r="A67" s="434">
        <v>31</v>
      </c>
      <c r="B67" s="346" t="s">
        <v>494</v>
      </c>
      <c r="C67" s="436" t="s">
        <v>567</v>
      </c>
      <c r="D67" s="442">
        <v>158356</v>
      </c>
      <c r="E67" s="347" t="s">
        <v>568</v>
      </c>
      <c r="F67" s="346" t="s">
        <v>491</v>
      </c>
      <c r="G67" s="360">
        <v>14396</v>
      </c>
      <c r="H67" s="360">
        <v>14396</v>
      </c>
      <c r="I67" s="360">
        <v>14396</v>
      </c>
      <c r="J67" s="360">
        <v>14396</v>
      </c>
      <c r="K67" s="360">
        <v>14396</v>
      </c>
      <c r="L67" s="360">
        <v>14396</v>
      </c>
      <c r="M67" s="360">
        <v>14396</v>
      </c>
      <c r="N67" s="360">
        <v>14396</v>
      </c>
      <c r="O67" s="360">
        <v>14396</v>
      </c>
      <c r="P67" s="360">
        <v>14396</v>
      </c>
      <c r="Q67" s="360">
        <v>7198</v>
      </c>
      <c r="R67" s="360"/>
      <c r="S67" s="360"/>
      <c r="T67" s="360"/>
      <c r="U67" s="361"/>
      <c r="V67" s="350">
        <f t="shared" si="1"/>
        <v>151158</v>
      </c>
      <c r="X67" s="345"/>
    </row>
    <row r="68" spans="1:24" s="337" customFormat="1" ht="12.75">
      <c r="A68" s="435"/>
      <c r="B68" s="351" t="s">
        <v>569</v>
      </c>
      <c r="C68" s="450"/>
      <c r="D68" s="443"/>
      <c r="E68" s="352" t="s">
        <v>570</v>
      </c>
      <c r="F68" s="353">
        <v>0.0077</v>
      </c>
      <c r="G68" s="396">
        <v>1865.97</v>
      </c>
      <c r="H68" s="354">
        <v>1293</v>
      </c>
      <c r="I68" s="354">
        <v>1218</v>
      </c>
      <c r="J68" s="354">
        <v>1075</v>
      </c>
      <c r="K68" s="354">
        <v>926</v>
      </c>
      <c r="L68" s="354">
        <v>780</v>
      </c>
      <c r="M68" s="354">
        <v>634</v>
      </c>
      <c r="N68" s="354">
        <v>490</v>
      </c>
      <c r="O68" s="354">
        <v>342</v>
      </c>
      <c r="P68" s="354">
        <v>196</v>
      </c>
      <c r="Q68" s="354">
        <v>51</v>
      </c>
      <c r="R68" s="354"/>
      <c r="S68" s="354"/>
      <c r="T68" s="354"/>
      <c r="U68" s="362"/>
      <c r="V68" s="357">
        <f t="shared" si="1"/>
        <v>8870.970000000001</v>
      </c>
      <c r="X68" s="345"/>
    </row>
    <row r="69" spans="1:24" s="337" customFormat="1" ht="12.75" customHeight="1">
      <c r="A69" s="434">
        <v>32</v>
      </c>
      <c r="B69" s="346" t="s">
        <v>494</v>
      </c>
      <c r="C69" s="436" t="s">
        <v>571</v>
      </c>
      <c r="D69" s="448">
        <v>49624.99</v>
      </c>
      <c r="E69" s="347" t="s">
        <v>568</v>
      </c>
      <c r="F69" s="346" t="s">
        <v>491</v>
      </c>
      <c r="G69" s="360">
        <v>4512</v>
      </c>
      <c r="H69" s="360">
        <v>4512</v>
      </c>
      <c r="I69" s="360">
        <v>4512</v>
      </c>
      <c r="J69" s="360">
        <v>4512</v>
      </c>
      <c r="K69" s="360">
        <v>4512</v>
      </c>
      <c r="L69" s="360">
        <v>4512</v>
      </c>
      <c r="M69" s="360">
        <v>4512</v>
      </c>
      <c r="N69" s="360">
        <v>4512</v>
      </c>
      <c r="O69" s="360">
        <v>4512</v>
      </c>
      <c r="P69" s="360">
        <v>4512</v>
      </c>
      <c r="Q69" s="360">
        <v>2248.99</v>
      </c>
      <c r="R69" s="360"/>
      <c r="S69" s="360"/>
      <c r="T69" s="360"/>
      <c r="U69" s="361"/>
      <c r="V69" s="350">
        <f t="shared" si="1"/>
        <v>47368.99</v>
      </c>
      <c r="X69" s="345"/>
    </row>
    <row r="70" spans="1:24" s="337" customFormat="1" ht="12.75">
      <c r="A70" s="435"/>
      <c r="B70" s="351" t="s">
        <v>572</v>
      </c>
      <c r="C70" s="437"/>
      <c r="D70" s="449"/>
      <c r="E70" s="352" t="s">
        <v>570</v>
      </c>
      <c r="F70" s="353">
        <v>0.0077</v>
      </c>
      <c r="G70" s="396">
        <v>584.74</v>
      </c>
      <c r="H70" s="354">
        <v>405</v>
      </c>
      <c r="I70" s="354">
        <v>382</v>
      </c>
      <c r="J70" s="354">
        <v>337</v>
      </c>
      <c r="K70" s="354">
        <v>290</v>
      </c>
      <c r="L70" s="354">
        <v>244</v>
      </c>
      <c r="M70" s="354">
        <v>199</v>
      </c>
      <c r="N70" s="354">
        <v>153</v>
      </c>
      <c r="O70" s="354">
        <v>107</v>
      </c>
      <c r="P70" s="354">
        <v>61</v>
      </c>
      <c r="Q70" s="354">
        <v>16</v>
      </c>
      <c r="R70" s="354"/>
      <c r="S70" s="354"/>
      <c r="T70" s="354"/>
      <c r="U70" s="362"/>
      <c r="V70" s="357">
        <f t="shared" si="1"/>
        <v>2778.74</v>
      </c>
      <c r="X70" s="345"/>
    </row>
    <row r="71" spans="1:24" s="337" customFormat="1" ht="12.75" customHeight="1">
      <c r="A71" s="434">
        <v>33</v>
      </c>
      <c r="B71" s="346" t="s">
        <v>494</v>
      </c>
      <c r="C71" s="436" t="s">
        <v>573</v>
      </c>
      <c r="D71" s="442">
        <v>177900</v>
      </c>
      <c r="E71" s="347" t="s">
        <v>574</v>
      </c>
      <c r="F71" s="346" t="s">
        <v>491</v>
      </c>
      <c r="G71" s="360">
        <v>16176</v>
      </c>
      <c r="H71" s="360">
        <v>16176</v>
      </c>
      <c r="I71" s="360">
        <v>16176</v>
      </c>
      <c r="J71" s="360">
        <v>16176</v>
      </c>
      <c r="K71" s="360">
        <v>16176</v>
      </c>
      <c r="L71" s="360">
        <v>16176</v>
      </c>
      <c r="M71" s="360">
        <v>16176</v>
      </c>
      <c r="N71" s="360">
        <v>16176</v>
      </c>
      <c r="O71" s="360">
        <v>16176</v>
      </c>
      <c r="P71" s="360">
        <v>16176</v>
      </c>
      <c r="Q71" s="360">
        <v>8052</v>
      </c>
      <c r="R71" s="360"/>
      <c r="S71" s="360"/>
      <c r="T71" s="360"/>
      <c r="U71" s="361"/>
      <c r="V71" s="350">
        <f aca="true" t="shared" si="2" ref="V71:V134">SUM(G71:U71)</f>
        <v>169812</v>
      </c>
      <c r="X71" s="345"/>
    </row>
    <row r="72" spans="1:24" s="337" customFormat="1" ht="12.75">
      <c r="A72" s="435"/>
      <c r="B72" s="351" t="s">
        <v>575</v>
      </c>
      <c r="C72" s="437"/>
      <c r="D72" s="443"/>
      <c r="E72" s="352" t="s">
        <v>576</v>
      </c>
      <c r="F72" s="353">
        <v>0.0077</v>
      </c>
      <c r="G72" s="396">
        <v>2096.24</v>
      </c>
      <c r="H72" s="354">
        <v>1453</v>
      </c>
      <c r="I72" s="354">
        <v>1368</v>
      </c>
      <c r="J72" s="354">
        <v>1208</v>
      </c>
      <c r="K72" s="354">
        <v>1040</v>
      </c>
      <c r="L72" s="354">
        <v>876</v>
      </c>
      <c r="M72" s="354">
        <v>712</v>
      </c>
      <c r="N72" s="354">
        <v>550</v>
      </c>
      <c r="O72" s="354">
        <v>384</v>
      </c>
      <c r="P72" s="354">
        <v>220</v>
      </c>
      <c r="Q72" s="354">
        <v>57</v>
      </c>
      <c r="R72" s="354"/>
      <c r="S72" s="354"/>
      <c r="T72" s="354"/>
      <c r="U72" s="362"/>
      <c r="V72" s="357">
        <f t="shared" si="2"/>
        <v>9964.24</v>
      </c>
      <c r="X72" s="345"/>
    </row>
    <row r="73" spans="1:24" s="337" customFormat="1" ht="12.75" customHeight="1">
      <c r="A73" s="434">
        <v>34</v>
      </c>
      <c r="B73" s="346" t="s">
        <v>494</v>
      </c>
      <c r="C73" s="436" t="s">
        <v>577</v>
      </c>
      <c r="D73" s="448">
        <v>730745.11</v>
      </c>
      <c r="E73" s="347" t="s">
        <v>578</v>
      </c>
      <c r="F73" s="346" t="s">
        <v>491</v>
      </c>
      <c r="G73" s="360">
        <v>1000</v>
      </c>
      <c r="H73" s="360">
        <v>47272</v>
      </c>
      <c r="I73" s="360">
        <v>47272</v>
      </c>
      <c r="J73" s="360">
        <v>47272</v>
      </c>
      <c r="K73" s="360">
        <v>47272</v>
      </c>
      <c r="L73" s="360">
        <v>47272</v>
      </c>
      <c r="M73" s="360">
        <v>47272</v>
      </c>
      <c r="N73" s="360">
        <v>47272</v>
      </c>
      <c r="O73" s="360">
        <v>47272</v>
      </c>
      <c r="P73" s="360">
        <v>47272</v>
      </c>
      <c r="Q73" s="360">
        <v>47272</v>
      </c>
      <c r="R73" s="360">
        <v>47272</v>
      </c>
      <c r="S73" s="360">
        <v>47272</v>
      </c>
      <c r="T73" s="360">
        <v>47272</v>
      </c>
      <c r="U73" s="361">
        <v>82731.11</v>
      </c>
      <c r="V73" s="350">
        <f t="shared" si="2"/>
        <v>698267.11</v>
      </c>
      <c r="X73" s="345"/>
    </row>
    <row r="74" spans="1:24" s="337" customFormat="1" ht="12.75">
      <c r="A74" s="435"/>
      <c r="B74" s="351" t="s">
        <v>579</v>
      </c>
      <c r="C74" s="450"/>
      <c r="D74" s="449"/>
      <c r="E74" s="352" t="s">
        <v>580</v>
      </c>
      <c r="F74" s="353">
        <v>0.0077</v>
      </c>
      <c r="G74" s="396">
        <v>8731.06</v>
      </c>
      <c r="H74" s="354">
        <v>6617</v>
      </c>
      <c r="I74" s="354">
        <v>6515</v>
      </c>
      <c r="J74" s="354">
        <v>6053</v>
      </c>
      <c r="K74" s="354">
        <v>5557</v>
      </c>
      <c r="L74" s="354">
        <v>5078</v>
      </c>
      <c r="M74" s="354">
        <v>4598</v>
      </c>
      <c r="N74" s="354">
        <v>4131</v>
      </c>
      <c r="O74" s="354">
        <v>3640</v>
      </c>
      <c r="P74" s="354">
        <v>3160</v>
      </c>
      <c r="Q74" s="354">
        <v>2681</v>
      </c>
      <c r="R74" s="354">
        <v>2208</v>
      </c>
      <c r="S74" s="354">
        <v>1723</v>
      </c>
      <c r="T74" s="354">
        <v>1243</v>
      </c>
      <c r="U74" s="362">
        <f>764+286</f>
        <v>1050</v>
      </c>
      <c r="V74" s="357">
        <f t="shared" si="2"/>
        <v>62985.06</v>
      </c>
      <c r="X74" s="345"/>
    </row>
    <row r="75" spans="1:24" s="337" customFormat="1" ht="12.75" customHeight="1">
      <c r="A75" s="434">
        <v>35</v>
      </c>
      <c r="B75" s="346" t="s">
        <v>494</v>
      </c>
      <c r="C75" s="436" t="s">
        <v>581</v>
      </c>
      <c r="D75" s="448">
        <v>248390.15</v>
      </c>
      <c r="E75" s="347" t="s">
        <v>582</v>
      </c>
      <c r="F75" s="346" t="s">
        <v>491</v>
      </c>
      <c r="G75" s="360">
        <v>22080</v>
      </c>
      <c r="H75" s="360">
        <v>22080</v>
      </c>
      <c r="I75" s="360">
        <v>22080</v>
      </c>
      <c r="J75" s="360">
        <v>22080</v>
      </c>
      <c r="K75" s="360">
        <v>22080</v>
      </c>
      <c r="L75" s="360">
        <v>22080</v>
      </c>
      <c r="M75" s="360">
        <v>22080</v>
      </c>
      <c r="N75" s="360">
        <v>22080</v>
      </c>
      <c r="O75" s="360">
        <v>22080</v>
      </c>
      <c r="P75" s="360">
        <v>22080</v>
      </c>
      <c r="Q75" s="360">
        <v>16550.15</v>
      </c>
      <c r="R75" s="360"/>
      <c r="S75" s="360"/>
      <c r="T75" s="360"/>
      <c r="U75" s="361"/>
      <c r="V75" s="350">
        <f t="shared" si="2"/>
        <v>237350.15</v>
      </c>
      <c r="X75" s="345"/>
    </row>
    <row r="76" spans="1:24" s="337" customFormat="1" ht="12.75">
      <c r="A76" s="435"/>
      <c r="B76" s="351" t="s">
        <v>583</v>
      </c>
      <c r="C76" s="437"/>
      <c r="D76" s="449"/>
      <c r="E76" s="352" t="s">
        <v>580</v>
      </c>
      <c r="F76" s="353">
        <v>0.0077</v>
      </c>
      <c r="G76" s="396">
        <v>2930.37</v>
      </c>
      <c r="H76" s="354">
        <v>2036</v>
      </c>
      <c r="I76" s="354">
        <v>1924</v>
      </c>
      <c r="J76" s="354">
        <v>1705</v>
      </c>
      <c r="K76" s="354">
        <v>1476</v>
      </c>
      <c r="L76" s="354">
        <v>1252</v>
      </c>
      <c r="M76" s="354">
        <v>1028</v>
      </c>
      <c r="N76" s="354">
        <v>807</v>
      </c>
      <c r="O76" s="354">
        <v>581</v>
      </c>
      <c r="P76" s="354">
        <v>357</v>
      </c>
      <c r="Q76" s="354">
        <v>133</v>
      </c>
      <c r="R76" s="354"/>
      <c r="S76" s="354"/>
      <c r="T76" s="354"/>
      <c r="U76" s="362"/>
      <c r="V76" s="357">
        <f t="shared" si="2"/>
        <v>14229.369999999999</v>
      </c>
      <c r="X76" s="345"/>
    </row>
    <row r="77" spans="1:24" s="337" customFormat="1" ht="12.75" customHeight="1">
      <c r="A77" s="434">
        <v>36</v>
      </c>
      <c r="B77" s="346" t="s">
        <v>494</v>
      </c>
      <c r="C77" s="436" t="s">
        <v>584</v>
      </c>
      <c r="D77" s="448">
        <v>332447.85</v>
      </c>
      <c r="E77" s="347" t="s">
        <v>582</v>
      </c>
      <c r="F77" s="346" t="s">
        <v>491</v>
      </c>
      <c r="G77" s="360">
        <v>29552</v>
      </c>
      <c r="H77" s="360">
        <v>29552</v>
      </c>
      <c r="I77" s="360">
        <v>29552</v>
      </c>
      <c r="J77" s="360">
        <v>29552</v>
      </c>
      <c r="K77" s="360">
        <v>29552</v>
      </c>
      <c r="L77" s="360">
        <v>29552</v>
      </c>
      <c r="M77" s="360">
        <v>29552</v>
      </c>
      <c r="N77" s="360">
        <v>29552</v>
      </c>
      <c r="O77" s="360">
        <v>29552</v>
      </c>
      <c r="P77" s="360">
        <v>29552</v>
      </c>
      <c r="Q77" s="360">
        <v>22151.85</v>
      </c>
      <c r="R77" s="360"/>
      <c r="S77" s="360"/>
      <c r="T77" s="360"/>
      <c r="U77" s="361"/>
      <c r="V77" s="350">
        <f t="shared" si="2"/>
        <v>317671.85</v>
      </c>
      <c r="X77" s="345"/>
    </row>
    <row r="78" spans="1:24" s="337" customFormat="1" ht="12.75">
      <c r="A78" s="435"/>
      <c r="B78" s="351" t="s">
        <v>585</v>
      </c>
      <c r="C78" s="437"/>
      <c r="D78" s="449"/>
      <c r="E78" s="352" t="s">
        <v>570</v>
      </c>
      <c r="F78" s="353">
        <v>0.0077</v>
      </c>
      <c r="G78" s="396">
        <v>3922.05</v>
      </c>
      <c r="H78" s="354">
        <v>2725</v>
      </c>
      <c r="I78" s="354">
        <v>2575</v>
      </c>
      <c r="J78" s="354">
        <v>2282</v>
      </c>
      <c r="K78" s="354">
        <v>1976</v>
      </c>
      <c r="L78" s="354">
        <v>1676</v>
      </c>
      <c r="M78" s="354">
        <v>1376</v>
      </c>
      <c r="N78" s="354">
        <v>1080</v>
      </c>
      <c r="O78" s="354">
        <v>777</v>
      </c>
      <c r="P78" s="354">
        <v>477</v>
      </c>
      <c r="Q78" s="354">
        <v>178</v>
      </c>
      <c r="R78" s="354"/>
      <c r="S78" s="354"/>
      <c r="T78" s="354"/>
      <c r="U78" s="362"/>
      <c r="V78" s="357">
        <f t="shared" si="2"/>
        <v>19044.05</v>
      </c>
      <c r="X78" s="345"/>
    </row>
    <row r="79" spans="1:24" s="337" customFormat="1" ht="12.75" customHeight="1">
      <c r="A79" s="434">
        <v>37</v>
      </c>
      <c r="B79" s="346" t="s">
        <v>494</v>
      </c>
      <c r="C79" s="436" t="s">
        <v>586</v>
      </c>
      <c r="D79" s="448">
        <v>296782.62</v>
      </c>
      <c r="E79" s="347" t="s">
        <v>587</v>
      </c>
      <c r="F79" s="346" t="s">
        <v>491</v>
      </c>
      <c r="G79" s="360">
        <v>26984</v>
      </c>
      <c r="H79" s="360">
        <v>26984</v>
      </c>
      <c r="I79" s="360">
        <v>26984</v>
      </c>
      <c r="J79" s="360">
        <v>26984</v>
      </c>
      <c r="K79" s="360">
        <v>26984</v>
      </c>
      <c r="L79" s="360">
        <v>26984</v>
      </c>
      <c r="M79" s="360">
        <v>26984</v>
      </c>
      <c r="N79" s="360">
        <v>26984</v>
      </c>
      <c r="O79" s="360">
        <v>26984</v>
      </c>
      <c r="P79" s="360">
        <v>26984</v>
      </c>
      <c r="Q79" s="360">
        <v>13450.62</v>
      </c>
      <c r="R79" s="360"/>
      <c r="S79" s="360"/>
      <c r="T79" s="360"/>
      <c r="U79" s="361"/>
      <c r="V79" s="350">
        <f t="shared" si="2"/>
        <v>283290.62</v>
      </c>
      <c r="X79" s="345"/>
    </row>
    <row r="80" spans="1:24" s="337" customFormat="1" ht="12.75">
      <c r="A80" s="435"/>
      <c r="B80" s="351" t="s">
        <v>588</v>
      </c>
      <c r="C80" s="437"/>
      <c r="D80" s="449"/>
      <c r="E80" s="352" t="s">
        <v>570</v>
      </c>
      <c r="F80" s="353">
        <v>0.0077</v>
      </c>
      <c r="G80" s="396">
        <v>3497.06</v>
      </c>
      <c r="H80" s="354">
        <v>2423</v>
      </c>
      <c r="I80" s="354">
        <v>2282</v>
      </c>
      <c r="J80" s="354">
        <v>2015</v>
      </c>
      <c r="K80" s="354">
        <v>1735</v>
      </c>
      <c r="L80" s="354">
        <v>1462</v>
      </c>
      <c r="M80" s="354">
        <v>1188</v>
      </c>
      <c r="N80" s="354">
        <v>917</v>
      </c>
      <c r="O80" s="354">
        <v>641</v>
      </c>
      <c r="P80" s="354">
        <v>367</v>
      </c>
      <c r="Q80" s="354">
        <v>96</v>
      </c>
      <c r="R80" s="354"/>
      <c r="S80" s="354"/>
      <c r="T80" s="354"/>
      <c r="U80" s="362"/>
      <c r="V80" s="357">
        <f t="shared" si="2"/>
        <v>16623.059999999998</v>
      </c>
      <c r="X80" s="345"/>
    </row>
    <row r="81" spans="1:24" s="337" customFormat="1" ht="12.75" customHeight="1">
      <c r="A81" s="434">
        <v>38</v>
      </c>
      <c r="B81" s="346" t="s">
        <v>494</v>
      </c>
      <c r="C81" s="436" t="s">
        <v>589</v>
      </c>
      <c r="D81" s="442">
        <v>264681</v>
      </c>
      <c r="E81" s="347" t="s">
        <v>590</v>
      </c>
      <c r="F81" s="346" t="s">
        <v>491</v>
      </c>
      <c r="G81" s="360">
        <v>24064</v>
      </c>
      <c r="H81" s="360">
        <v>24064</v>
      </c>
      <c r="I81" s="360">
        <v>24064</v>
      </c>
      <c r="J81" s="360">
        <v>24064</v>
      </c>
      <c r="K81" s="360">
        <v>24064</v>
      </c>
      <c r="L81" s="360">
        <v>24064</v>
      </c>
      <c r="M81" s="360">
        <v>24064</v>
      </c>
      <c r="N81" s="360">
        <v>24064</v>
      </c>
      <c r="O81" s="360">
        <v>24064</v>
      </c>
      <c r="P81" s="360">
        <v>24064</v>
      </c>
      <c r="Q81" s="360">
        <v>12009</v>
      </c>
      <c r="R81" s="360"/>
      <c r="S81" s="360"/>
      <c r="T81" s="360"/>
      <c r="U81" s="361"/>
      <c r="V81" s="350">
        <f t="shared" si="2"/>
        <v>252649</v>
      </c>
      <c r="X81" s="345"/>
    </row>
    <row r="82" spans="1:24" s="337" customFormat="1" ht="12.75">
      <c r="A82" s="435"/>
      <c r="B82" s="351" t="s">
        <v>591</v>
      </c>
      <c r="C82" s="437"/>
      <c r="D82" s="443"/>
      <c r="E82" s="352" t="s">
        <v>570</v>
      </c>
      <c r="F82" s="353">
        <v>0.0077</v>
      </c>
      <c r="G82" s="396">
        <v>3118.83</v>
      </c>
      <c r="H82" s="354">
        <v>2161</v>
      </c>
      <c r="I82" s="354">
        <v>2036</v>
      </c>
      <c r="J82" s="354">
        <v>1797</v>
      </c>
      <c r="K82" s="354">
        <v>1548</v>
      </c>
      <c r="L82" s="354">
        <v>1304</v>
      </c>
      <c r="M82" s="354">
        <v>1060</v>
      </c>
      <c r="N82" s="354">
        <v>818</v>
      </c>
      <c r="O82" s="354">
        <v>572</v>
      </c>
      <c r="P82" s="354">
        <v>328</v>
      </c>
      <c r="Q82" s="354">
        <v>86</v>
      </c>
      <c r="R82" s="354"/>
      <c r="S82" s="354"/>
      <c r="T82" s="354"/>
      <c r="U82" s="362"/>
      <c r="V82" s="357">
        <f t="shared" si="2"/>
        <v>14828.83</v>
      </c>
      <c r="X82" s="345"/>
    </row>
    <row r="83" spans="1:24" s="337" customFormat="1" ht="12.75" customHeight="1">
      <c r="A83" s="434">
        <v>39</v>
      </c>
      <c r="B83" s="346" t="s">
        <v>494</v>
      </c>
      <c r="C83" s="436" t="s">
        <v>573</v>
      </c>
      <c r="D83" s="442">
        <v>175848</v>
      </c>
      <c r="E83" s="347" t="s">
        <v>592</v>
      </c>
      <c r="F83" s="346" t="s">
        <v>491</v>
      </c>
      <c r="G83" s="360">
        <v>15632</v>
      </c>
      <c r="H83" s="360">
        <v>15632</v>
      </c>
      <c r="I83" s="360">
        <v>15632</v>
      </c>
      <c r="J83" s="360">
        <v>15632</v>
      </c>
      <c r="K83" s="360">
        <v>15632</v>
      </c>
      <c r="L83" s="360">
        <v>15632</v>
      </c>
      <c r="M83" s="360">
        <v>15632</v>
      </c>
      <c r="N83" s="360">
        <v>15632</v>
      </c>
      <c r="O83" s="360">
        <v>15632</v>
      </c>
      <c r="P83" s="360">
        <v>15632</v>
      </c>
      <c r="Q83" s="360">
        <v>15632</v>
      </c>
      <c r="R83" s="360">
        <v>3896</v>
      </c>
      <c r="S83" s="360"/>
      <c r="T83" s="360"/>
      <c r="U83" s="361"/>
      <c r="V83" s="350">
        <f t="shared" si="2"/>
        <v>175848</v>
      </c>
      <c r="X83" s="345"/>
    </row>
    <row r="84" spans="1:24" s="337" customFormat="1" ht="12.75">
      <c r="A84" s="435"/>
      <c r="B84" s="351" t="s">
        <v>593</v>
      </c>
      <c r="C84" s="437"/>
      <c r="D84" s="443"/>
      <c r="E84" s="352" t="s">
        <v>594</v>
      </c>
      <c r="F84" s="353">
        <v>0.00669</v>
      </c>
      <c r="G84" s="396">
        <v>2185.75</v>
      </c>
      <c r="H84" s="354">
        <v>1480</v>
      </c>
      <c r="I84" s="354">
        <v>1441</v>
      </c>
      <c r="J84" s="354">
        <v>1286</v>
      </c>
      <c r="K84" s="354">
        <v>1124</v>
      </c>
      <c r="L84" s="354">
        <v>966</v>
      </c>
      <c r="M84" s="354">
        <v>807</v>
      </c>
      <c r="N84" s="354">
        <v>651</v>
      </c>
      <c r="O84" s="354">
        <v>490</v>
      </c>
      <c r="P84" s="354">
        <v>332</v>
      </c>
      <c r="Q84" s="354">
        <v>173</v>
      </c>
      <c r="R84" s="354">
        <v>27</v>
      </c>
      <c r="S84" s="354"/>
      <c r="T84" s="354"/>
      <c r="U84" s="362"/>
      <c r="V84" s="357">
        <f t="shared" si="2"/>
        <v>10962.75</v>
      </c>
      <c r="X84" s="345"/>
    </row>
    <row r="85" spans="1:24" s="337" customFormat="1" ht="12.75" customHeight="1">
      <c r="A85" s="434">
        <v>40</v>
      </c>
      <c r="B85" s="346" t="s">
        <v>494</v>
      </c>
      <c r="C85" s="436" t="s">
        <v>567</v>
      </c>
      <c r="D85" s="442">
        <v>53600.07</v>
      </c>
      <c r="E85" s="347" t="s">
        <v>592</v>
      </c>
      <c r="F85" s="346" t="s">
        <v>491</v>
      </c>
      <c r="G85" s="360">
        <v>4768</v>
      </c>
      <c r="H85" s="360">
        <v>4768</v>
      </c>
      <c r="I85" s="360">
        <v>4768</v>
      </c>
      <c r="J85" s="360">
        <v>4768</v>
      </c>
      <c r="K85" s="360">
        <v>4768</v>
      </c>
      <c r="L85" s="360">
        <v>4768</v>
      </c>
      <c r="M85" s="360">
        <v>4768</v>
      </c>
      <c r="N85" s="360">
        <v>4768</v>
      </c>
      <c r="O85" s="360">
        <v>4768</v>
      </c>
      <c r="P85" s="360">
        <v>4768</v>
      </c>
      <c r="Q85" s="360">
        <v>4768</v>
      </c>
      <c r="R85" s="360">
        <v>1152.07</v>
      </c>
      <c r="S85" s="360"/>
      <c r="T85" s="360"/>
      <c r="U85" s="361"/>
      <c r="V85" s="350">
        <f t="shared" si="2"/>
        <v>53600.07</v>
      </c>
      <c r="X85" s="345"/>
    </row>
    <row r="86" spans="1:24" s="337" customFormat="1" ht="12.75">
      <c r="A86" s="435"/>
      <c r="B86" s="351" t="s">
        <v>595</v>
      </c>
      <c r="C86" s="437"/>
      <c r="D86" s="443"/>
      <c r="E86" s="352" t="s">
        <v>594</v>
      </c>
      <c r="F86" s="353">
        <v>0.00669</v>
      </c>
      <c r="G86" s="396">
        <v>666.24</v>
      </c>
      <c r="H86" s="354">
        <v>451</v>
      </c>
      <c r="I86" s="354">
        <v>439</v>
      </c>
      <c r="J86" s="354">
        <v>392</v>
      </c>
      <c r="K86" s="354">
        <v>343</v>
      </c>
      <c r="L86" s="354">
        <v>294</v>
      </c>
      <c r="M86" s="354">
        <v>246</v>
      </c>
      <c r="N86" s="354">
        <v>198</v>
      </c>
      <c r="O86" s="354">
        <v>149</v>
      </c>
      <c r="P86" s="354">
        <v>101</v>
      </c>
      <c r="Q86" s="354">
        <v>52</v>
      </c>
      <c r="R86" s="354">
        <v>8</v>
      </c>
      <c r="S86" s="354"/>
      <c r="T86" s="354"/>
      <c r="U86" s="362"/>
      <c r="V86" s="357">
        <f t="shared" si="2"/>
        <v>3339.24</v>
      </c>
      <c r="X86" s="345"/>
    </row>
    <row r="87" spans="1:24" s="337" customFormat="1" ht="12.75" customHeight="1">
      <c r="A87" s="434">
        <v>41</v>
      </c>
      <c r="B87" s="346" t="s">
        <v>494</v>
      </c>
      <c r="C87" s="436" t="s">
        <v>596</v>
      </c>
      <c r="D87" s="448">
        <v>111485.21</v>
      </c>
      <c r="E87" s="347" t="s">
        <v>597</v>
      </c>
      <c r="F87" s="346" t="s">
        <v>491</v>
      </c>
      <c r="G87" s="360">
        <v>9912</v>
      </c>
      <c r="H87" s="360">
        <v>9912</v>
      </c>
      <c r="I87" s="360">
        <v>9912</v>
      </c>
      <c r="J87" s="360">
        <v>9912</v>
      </c>
      <c r="K87" s="360">
        <v>9912</v>
      </c>
      <c r="L87" s="360">
        <v>9912</v>
      </c>
      <c r="M87" s="360">
        <v>9912</v>
      </c>
      <c r="N87" s="360">
        <v>9912</v>
      </c>
      <c r="O87" s="360">
        <v>9912</v>
      </c>
      <c r="P87" s="360">
        <v>9912</v>
      </c>
      <c r="Q87" s="360">
        <v>9912</v>
      </c>
      <c r="R87" s="360">
        <v>2453.21</v>
      </c>
      <c r="S87" s="360"/>
      <c r="T87" s="360"/>
      <c r="U87" s="361"/>
      <c r="V87" s="350">
        <f t="shared" si="2"/>
        <v>111485.21</v>
      </c>
      <c r="X87" s="345"/>
    </row>
    <row r="88" spans="1:24" s="337" customFormat="1" ht="12.75">
      <c r="A88" s="435"/>
      <c r="B88" s="351" t="s">
        <v>598</v>
      </c>
      <c r="C88" s="437"/>
      <c r="D88" s="449"/>
      <c r="E88" s="352" t="s">
        <v>594</v>
      </c>
      <c r="F88" s="353">
        <v>0.00548</v>
      </c>
      <c r="G88" s="396">
        <v>1151.99</v>
      </c>
      <c r="H88" s="354">
        <v>881</v>
      </c>
      <c r="I88" s="354">
        <v>914</v>
      </c>
      <c r="J88" s="354">
        <v>815</v>
      </c>
      <c r="K88" s="354">
        <v>713</v>
      </c>
      <c r="L88" s="354">
        <v>612</v>
      </c>
      <c r="M88" s="354">
        <v>512</v>
      </c>
      <c r="N88" s="354">
        <v>412</v>
      </c>
      <c r="O88" s="354">
        <v>311</v>
      </c>
      <c r="P88" s="354">
        <v>210</v>
      </c>
      <c r="Q88" s="354">
        <v>110</v>
      </c>
      <c r="R88" s="354">
        <v>17</v>
      </c>
      <c r="S88" s="354"/>
      <c r="T88" s="354"/>
      <c r="U88" s="362"/>
      <c r="V88" s="357">
        <f t="shared" si="2"/>
        <v>6658.99</v>
      </c>
      <c r="X88" s="345"/>
    </row>
    <row r="89" spans="1:24" s="337" customFormat="1" ht="12.75" customHeight="1">
      <c r="A89" s="434">
        <v>42</v>
      </c>
      <c r="B89" s="346" t="s">
        <v>494</v>
      </c>
      <c r="C89" s="436" t="s">
        <v>599</v>
      </c>
      <c r="D89" s="448">
        <v>75851.12</v>
      </c>
      <c r="E89" s="347" t="s">
        <v>600</v>
      </c>
      <c r="F89" s="346" t="s">
        <v>491</v>
      </c>
      <c r="G89" s="360">
        <v>6744</v>
      </c>
      <c r="H89" s="360">
        <v>6744</v>
      </c>
      <c r="I89" s="360">
        <v>6744</v>
      </c>
      <c r="J89" s="360">
        <v>6744</v>
      </c>
      <c r="K89" s="360">
        <v>6744</v>
      </c>
      <c r="L89" s="360">
        <v>6744</v>
      </c>
      <c r="M89" s="360">
        <v>6744</v>
      </c>
      <c r="N89" s="360">
        <v>6744</v>
      </c>
      <c r="O89" s="360">
        <v>6744</v>
      </c>
      <c r="P89" s="360">
        <v>6744</v>
      </c>
      <c r="Q89" s="360">
        <v>6744</v>
      </c>
      <c r="R89" s="360">
        <v>1667.12</v>
      </c>
      <c r="S89" s="360"/>
      <c r="T89" s="360"/>
      <c r="U89" s="361"/>
      <c r="V89" s="350">
        <f t="shared" si="2"/>
        <v>75851.12</v>
      </c>
      <c r="X89" s="345"/>
    </row>
    <row r="90" spans="1:24" s="337" customFormat="1" ht="12.75">
      <c r="A90" s="435"/>
      <c r="B90" s="351" t="s">
        <v>601</v>
      </c>
      <c r="C90" s="437"/>
      <c r="D90" s="449"/>
      <c r="E90" s="352" t="s">
        <v>594</v>
      </c>
      <c r="F90" s="353">
        <v>0.00548</v>
      </c>
      <c r="G90" s="396">
        <v>783.75</v>
      </c>
      <c r="H90" s="354">
        <v>599</v>
      </c>
      <c r="I90" s="354">
        <v>622</v>
      </c>
      <c r="J90" s="354">
        <v>555</v>
      </c>
      <c r="K90" s="354">
        <v>485</v>
      </c>
      <c r="L90" s="354">
        <v>416</v>
      </c>
      <c r="M90" s="354">
        <v>348</v>
      </c>
      <c r="N90" s="354">
        <v>281</v>
      </c>
      <c r="O90" s="354">
        <v>211</v>
      </c>
      <c r="P90" s="354">
        <v>143</v>
      </c>
      <c r="Q90" s="354">
        <v>75</v>
      </c>
      <c r="R90" s="354">
        <v>12</v>
      </c>
      <c r="S90" s="354"/>
      <c r="T90" s="354"/>
      <c r="U90" s="362"/>
      <c r="V90" s="357">
        <f t="shared" si="2"/>
        <v>4530.75</v>
      </c>
      <c r="X90" s="345"/>
    </row>
    <row r="91" spans="1:24" s="337" customFormat="1" ht="12.75" customHeight="1">
      <c r="A91" s="434">
        <v>43</v>
      </c>
      <c r="B91" s="346" t="s">
        <v>494</v>
      </c>
      <c r="C91" s="436" t="s">
        <v>602</v>
      </c>
      <c r="D91" s="442">
        <v>208654</v>
      </c>
      <c r="E91" s="358" t="s">
        <v>603</v>
      </c>
      <c r="F91" s="346" t="s">
        <v>491</v>
      </c>
      <c r="G91" s="360">
        <v>18548</v>
      </c>
      <c r="H91" s="360">
        <v>18548</v>
      </c>
      <c r="I91" s="360">
        <v>18548</v>
      </c>
      <c r="J91" s="360">
        <v>18548</v>
      </c>
      <c r="K91" s="360">
        <v>18548</v>
      </c>
      <c r="L91" s="360">
        <v>18548</v>
      </c>
      <c r="M91" s="360">
        <v>18548</v>
      </c>
      <c r="N91" s="360">
        <v>18548</v>
      </c>
      <c r="O91" s="360">
        <v>18548</v>
      </c>
      <c r="P91" s="360">
        <v>18548</v>
      </c>
      <c r="Q91" s="360">
        <v>18548</v>
      </c>
      <c r="R91" s="360">
        <v>4626</v>
      </c>
      <c r="S91" s="360"/>
      <c r="T91" s="360"/>
      <c r="U91" s="361"/>
      <c r="V91" s="350">
        <f t="shared" si="2"/>
        <v>208654</v>
      </c>
      <c r="X91" s="345"/>
    </row>
    <row r="92" spans="1:24" s="337" customFormat="1" ht="12.75">
      <c r="A92" s="435"/>
      <c r="B92" s="351" t="s">
        <v>604</v>
      </c>
      <c r="C92" s="437"/>
      <c r="D92" s="443"/>
      <c r="E92" s="359">
        <v>45371</v>
      </c>
      <c r="F92" s="353">
        <v>0.00548</v>
      </c>
      <c r="G92" s="396">
        <v>2156.03</v>
      </c>
      <c r="H92" s="354">
        <v>1648</v>
      </c>
      <c r="I92" s="354">
        <v>1710</v>
      </c>
      <c r="J92" s="354">
        <v>1526</v>
      </c>
      <c r="K92" s="354">
        <v>1334</v>
      </c>
      <c r="L92" s="354">
        <v>1146</v>
      </c>
      <c r="M92" s="354">
        <v>958</v>
      </c>
      <c r="N92" s="354">
        <v>772</v>
      </c>
      <c r="O92" s="354">
        <v>582</v>
      </c>
      <c r="P92" s="354">
        <v>394</v>
      </c>
      <c r="Q92" s="354">
        <v>206</v>
      </c>
      <c r="R92" s="354">
        <v>32</v>
      </c>
      <c r="S92" s="354"/>
      <c r="T92" s="354"/>
      <c r="U92" s="362"/>
      <c r="V92" s="357">
        <f t="shared" si="2"/>
        <v>12464.03</v>
      </c>
      <c r="X92" s="345"/>
    </row>
    <row r="93" spans="1:24" s="337" customFormat="1" ht="12.75" customHeight="1">
      <c r="A93" s="434">
        <v>44</v>
      </c>
      <c r="B93" s="346" t="s">
        <v>494</v>
      </c>
      <c r="C93" s="436" t="s">
        <v>586</v>
      </c>
      <c r="D93" s="448">
        <v>259406.35</v>
      </c>
      <c r="E93" s="358" t="s">
        <v>605</v>
      </c>
      <c r="F93" s="346" t="s">
        <v>491</v>
      </c>
      <c r="G93" s="360">
        <v>23060</v>
      </c>
      <c r="H93" s="360">
        <v>23060</v>
      </c>
      <c r="I93" s="360">
        <v>23060</v>
      </c>
      <c r="J93" s="360">
        <v>23060</v>
      </c>
      <c r="K93" s="360">
        <v>23060</v>
      </c>
      <c r="L93" s="360">
        <v>23060</v>
      </c>
      <c r="M93" s="360">
        <v>23060</v>
      </c>
      <c r="N93" s="360">
        <v>23060</v>
      </c>
      <c r="O93" s="360">
        <v>23060</v>
      </c>
      <c r="P93" s="360">
        <v>23060</v>
      </c>
      <c r="Q93" s="360">
        <v>23060</v>
      </c>
      <c r="R93" s="360">
        <v>5746.35</v>
      </c>
      <c r="S93" s="360"/>
      <c r="T93" s="360"/>
      <c r="U93" s="361"/>
      <c r="V93" s="350">
        <f t="shared" si="2"/>
        <v>259406.35</v>
      </c>
      <c r="X93" s="345"/>
    </row>
    <row r="94" spans="1:24" s="337" customFormat="1" ht="12.75">
      <c r="A94" s="435"/>
      <c r="B94" s="351" t="s">
        <v>606</v>
      </c>
      <c r="C94" s="437"/>
      <c r="D94" s="449"/>
      <c r="E94" s="359">
        <v>45371</v>
      </c>
      <c r="F94" s="353">
        <v>0.00548</v>
      </c>
      <c r="G94" s="396">
        <v>2680.47</v>
      </c>
      <c r="H94" s="354">
        <v>2049</v>
      </c>
      <c r="I94" s="354">
        <v>2126</v>
      </c>
      <c r="J94" s="354">
        <v>1898</v>
      </c>
      <c r="K94" s="354">
        <v>1658</v>
      </c>
      <c r="L94" s="354">
        <v>1425</v>
      </c>
      <c r="M94" s="354">
        <v>1191</v>
      </c>
      <c r="N94" s="354">
        <v>960</v>
      </c>
      <c r="O94" s="354">
        <v>723</v>
      </c>
      <c r="P94" s="354">
        <v>489</v>
      </c>
      <c r="Q94" s="354">
        <v>256</v>
      </c>
      <c r="R94" s="354">
        <v>40</v>
      </c>
      <c r="S94" s="354"/>
      <c r="T94" s="354"/>
      <c r="U94" s="362"/>
      <c r="V94" s="357">
        <f t="shared" si="2"/>
        <v>15495.47</v>
      </c>
      <c r="X94" s="345"/>
    </row>
    <row r="95" spans="1:24" s="337" customFormat="1" ht="12.75" customHeight="1">
      <c r="A95" s="434">
        <v>45</v>
      </c>
      <c r="B95" s="346" t="s">
        <v>494</v>
      </c>
      <c r="C95" s="436" t="s">
        <v>607</v>
      </c>
      <c r="D95" s="448">
        <v>394132.16</v>
      </c>
      <c r="E95" s="358" t="s">
        <v>605</v>
      </c>
      <c r="F95" s="346" t="s">
        <v>491</v>
      </c>
      <c r="G95" s="360">
        <v>35036</v>
      </c>
      <c r="H95" s="360">
        <v>35036</v>
      </c>
      <c r="I95" s="360">
        <v>35036</v>
      </c>
      <c r="J95" s="360">
        <v>35036</v>
      </c>
      <c r="K95" s="360">
        <v>35036</v>
      </c>
      <c r="L95" s="360">
        <v>35036</v>
      </c>
      <c r="M95" s="360">
        <v>35036</v>
      </c>
      <c r="N95" s="360">
        <v>35036</v>
      </c>
      <c r="O95" s="360">
        <v>35036</v>
      </c>
      <c r="P95" s="360">
        <v>35036</v>
      </c>
      <c r="Q95" s="360">
        <v>35036</v>
      </c>
      <c r="R95" s="360">
        <v>8736.16</v>
      </c>
      <c r="S95" s="360"/>
      <c r="T95" s="360"/>
      <c r="U95" s="361"/>
      <c r="V95" s="350">
        <f t="shared" si="2"/>
        <v>394132.16</v>
      </c>
      <c r="X95" s="345"/>
    </row>
    <row r="96" spans="1:24" s="337" customFormat="1" ht="12.75">
      <c r="A96" s="435"/>
      <c r="B96" s="351" t="s">
        <v>608</v>
      </c>
      <c r="C96" s="437"/>
      <c r="D96" s="449"/>
      <c r="E96" s="359">
        <v>45371</v>
      </c>
      <c r="F96" s="353">
        <v>0.00548</v>
      </c>
      <c r="G96" s="396">
        <v>4072.6</v>
      </c>
      <c r="H96" s="354">
        <v>3113</v>
      </c>
      <c r="I96" s="354">
        <v>3230</v>
      </c>
      <c r="J96" s="354">
        <v>2883</v>
      </c>
      <c r="K96" s="354">
        <v>2520</v>
      </c>
      <c r="L96" s="354">
        <v>2164</v>
      </c>
      <c r="M96" s="354">
        <v>1809</v>
      </c>
      <c r="N96" s="354">
        <v>1458</v>
      </c>
      <c r="O96" s="354">
        <v>1099</v>
      </c>
      <c r="P96" s="354">
        <v>744</v>
      </c>
      <c r="Q96" s="354">
        <v>388</v>
      </c>
      <c r="R96" s="354">
        <v>61</v>
      </c>
      <c r="S96" s="354"/>
      <c r="T96" s="354"/>
      <c r="U96" s="362"/>
      <c r="V96" s="357">
        <f t="shared" si="2"/>
        <v>23541.6</v>
      </c>
      <c r="X96" s="345"/>
    </row>
    <row r="97" spans="1:24" s="337" customFormat="1" ht="12.75" customHeight="1">
      <c r="A97" s="434">
        <v>46</v>
      </c>
      <c r="B97" s="346" t="s">
        <v>494</v>
      </c>
      <c r="C97" s="436" t="s">
        <v>609</v>
      </c>
      <c r="D97" s="448">
        <v>24919.95</v>
      </c>
      <c r="E97" s="347" t="s">
        <v>610</v>
      </c>
      <c r="F97" s="346" t="s">
        <v>491</v>
      </c>
      <c r="G97" s="360"/>
      <c r="H97" s="360">
        <v>2216</v>
      </c>
      <c r="I97" s="360">
        <v>2216</v>
      </c>
      <c r="J97" s="360">
        <v>2216</v>
      </c>
      <c r="K97" s="360">
        <v>2216</v>
      </c>
      <c r="L97" s="360">
        <v>2216</v>
      </c>
      <c r="M97" s="360">
        <v>2216</v>
      </c>
      <c r="N97" s="360">
        <v>2216</v>
      </c>
      <c r="O97" s="360">
        <v>2216</v>
      </c>
      <c r="P97" s="360">
        <v>2216</v>
      </c>
      <c r="Q97" s="360">
        <v>2216</v>
      </c>
      <c r="R97" s="360">
        <v>1097.95</v>
      </c>
      <c r="S97" s="360"/>
      <c r="T97" s="360"/>
      <c r="U97" s="361"/>
      <c r="V97" s="350">
        <f t="shared" si="2"/>
        <v>23257.95</v>
      </c>
      <c r="X97" s="345"/>
    </row>
    <row r="98" spans="1:24" s="337" customFormat="1" ht="12.75">
      <c r="A98" s="435"/>
      <c r="B98" s="351" t="s">
        <v>611</v>
      </c>
      <c r="C98" s="437"/>
      <c r="D98" s="449"/>
      <c r="E98" s="352" t="s">
        <v>612</v>
      </c>
      <c r="F98" s="353">
        <v>0.0115</v>
      </c>
      <c r="G98" s="396">
        <v>233.3</v>
      </c>
      <c r="H98" s="354">
        <v>231</v>
      </c>
      <c r="I98" s="354">
        <v>210</v>
      </c>
      <c r="J98" s="354">
        <v>188</v>
      </c>
      <c r="K98" s="354">
        <v>165</v>
      </c>
      <c r="L98" s="354">
        <v>142</v>
      </c>
      <c r="M98" s="354">
        <v>120</v>
      </c>
      <c r="N98" s="354">
        <v>98</v>
      </c>
      <c r="O98" s="354">
        <v>75</v>
      </c>
      <c r="P98" s="354">
        <v>53</v>
      </c>
      <c r="Q98" s="354">
        <v>30</v>
      </c>
      <c r="R98" s="354">
        <v>8</v>
      </c>
      <c r="S98" s="354"/>
      <c r="T98" s="354"/>
      <c r="U98" s="362"/>
      <c r="V98" s="357">
        <f t="shared" si="2"/>
        <v>1553.3</v>
      </c>
      <c r="X98" s="345"/>
    </row>
    <row r="99" spans="1:24" s="337" customFormat="1" ht="12.75" customHeight="1">
      <c r="A99" s="434">
        <v>47</v>
      </c>
      <c r="B99" s="346" t="s">
        <v>494</v>
      </c>
      <c r="C99" s="436" t="s">
        <v>613</v>
      </c>
      <c r="D99" s="442">
        <v>220000</v>
      </c>
      <c r="E99" s="347" t="s">
        <v>610</v>
      </c>
      <c r="F99" s="363" t="s">
        <v>491</v>
      </c>
      <c r="G99" s="360">
        <v>9778</v>
      </c>
      <c r="H99" s="360">
        <v>19556</v>
      </c>
      <c r="I99" s="360">
        <v>19556</v>
      </c>
      <c r="J99" s="360">
        <v>19556</v>
      </c>
      <c r="K99" s="360">
        <v>19556</v>
      </c>
      <c r="L99" s="360">
        <v>19556</v>
      </c>
      <c r="M99" s="360">
        <v>19556</v>
      </c>
      <c r="N99" s="360">
        <v>19556</v>
      </c>
      <c r="O99" s="360">
        <v>19556</v>
      </c>
      <c r="P99" s="360">
        <v>19556</v>
      </c>
      <c r="Q99" s="360">
        <v>19556</v>
      </c>
      <c r="R99" s="360">
        <v>14662</v>
      </c>
      <c r="S99" s="360"/>
      <c r="T99" s="360"/>
      <c r="U99" s="361"/>
      <c r="V99" s="350">
        <f t="shared" si="2"/>
        <v>220000</v>
      </c>
      <c r="X99" s="345"/>
    </row>
    <row r="100" spans="1:24" s="337" customFormat="1" ht="12.75">
      <c r="A100" s="435"/>
      <c r="B100" s="351" t="s">
        <v>614</v>
      </c>
      <c r="C100" s="437"/>
      <c r="D100" s="443"/>
      <c r="E100" s="352" t="s">
        <v>615</v>
      </c>
      <c r="F100" s="353">
        <v>0.0077</v>
      </c>
      <c r="G100" s="396">
        <v>2729.96</v>
      </c>
      <c r="H100" s="354">
        <v>1896</v>
      </c>
      <c r="I100" s="354">
        <v>1902</v>
      </c>
      <c r="J100" s="354">
        <v>1709</v>
      </c>
      <c r="K100" s="354">
        <v>1506</v>
      </c>
      <c r="L100" s="354">
        <v>1307</v>
      </c>
      <c r="M100" s="354">
        <v>1109</v>
      </c>
      <c r="N100" s="354">
        <v>914</v>
      </c>
      <c r="O100" s="354">
        <v>713</v>
      </c>
      <c r="P100" s="354">
        <v>514</v>
      </c>
      <c r="Q100" s="354">
        <v>316</v>
      </c>
      <c r="R100" s="354">
        <v>118</v>
      </c>
      <c r="S100" s="354"/>
      <c r="T100" s="354"/>
      <c r="U100" s="362"/>
      <c r="V100" s="357">
        <f t="shared" si="2"/>
        <v>14733.96</v>
      </c>
      <c r="X100" s="345"/>
    </row>
    <row r="101" spans="1:24" s="337" customFormat="1" ht="12.75">
      <c r="A101" s="434">
        <v>48</v>
      </c>
      <c r="B101" s="346" t="s">
        <v>494</v>
      </c>
      <c r="C101" s="436" t="s">
        <v>607</v>
      </c>
      <c r="D101" s="448">
        <v>2322072.75</v>
      </c>
      <c r="E101" s="347" t="s">
        <v>616</v>
      </c>
      <c r="F101" s="363" t="s">
        <v>491</v>
      </c>
      <c r="G101" s="360">
        <v>1000</v>
      </c>
      <c r="H101" s="360">
        <v>147368</v>
      </c>
      <c r="I101" s="360">
        <v>147368</v>
      </c>
      <c r="J101" s="360">
        <v>147368</v>
      </c>
      <c r="K101" s="360">
        <v>147368</v>
      </c>
      <c r="L101" s="360">
        <v>147368</v>
      </c>
      <c r="M101" s="360">
        <v>147368</v>
      </c>
      <c r="N101" s="360">
        <v>147368</v>
      </c>
      <c r="O101" s="360">
        <v>147368</v>
      </c>
      <c r="P101" s="360">
        <v>147368</v>
      </c>
      <c r="Q101" s="360">
        <v>147368</v>
      </c>
      <c r="R101" s="360">
        <v>147368</v>
      </c>
      <c r="S101" s="360">
        <v>147368</v>
      </c>
      <c r="T101" s="360">
        <v>147368</v>
      </c>
      <c r="U101" s="361">
        <v>405288.75</v>
      </c>
      <c r="V101" s="350">
        <f t="shared" si="2"/>
        <v>2322072.75</v>
      </c>
      <c r="X101" s="345"/>
    </row>
    <row r="102" spans="1:24" s="337" customFormat="1" ht="12.75">
      <c r="A102" s="435"/>
      <c r="B102" s="351" t="s">
        <v>617</v>
      </c>
      <c r="C102" s="437"/>
      <c r="D102" s="449"/>
      <c r="E102" s="352" t="s">
        <v>615</v>
      </c>
      <c r="F102" s="353">
        <v>0.0077</v>
      </c>
      <c r="G102" s="396">
        <v>28829.49</v>
      </c>
      <c r="H102" s="354">
        <v>20985</v>
      </c>
      <c r="I102" s="354">
        <v>21806</v>
      </c>
      <c r="J102" s="354">
        <v>20369</v>
      </c>
      <c r="K102" s="354">
        <v>18817</v>
      </c>
      <c r="L102" s="354">
        <v>17323</v>
      </c>
      <c r="M102" s="354">
        <v>15829</v>
      </c>
      <c r="N102" s="354">
        <v>14376</v>
      </c>
      <c r="O102" s="354">
        <v>12841</v>
      </c>
      <c r="P102" s="354">
        <v>11347</v>
      </c>
      <c r="Q102" s="354">
        <v>9852</v>
      </c>
      <c r="R102" s="354">
        <v>8383</v>
      </c>
      <c r="S102" s="354">
        <v>6864</v>
      </c>
      <c r="T102" s="354">
        <v>5370</v>
      </c>
      <c r="U102" s="362">
        <f>3876+2390+888</f>
        <v>7154</v>
      </c>
      <c r="V102" s="357">
        <f t="shared" si="2"/>
        <v>220145.49</v>
      </c>
      <c r="X102" s="345"/>
    </row>
    <row r="103" spans="1:24" s="337" customFormat="1" ht="12.75" customHeight="1">
      <c r="A103" s="434">
        <v>49</v>
      </c>
      <c r="B103" s="346" t="s">
        <v>494</v>
      </c>
      <c r="C103" s="436" t="s">
        <v>571</v>
      </c>
      <c r="D103" s="442">
        <v>81147</v>
      </c>
      <c r="E103" s="451" t="s">
        <v>618</v>
      </c>
      <c r="F103" s="363" t="s">
        <v>491</v>
      </c>
      <c r="G103" s="360">
        <v>7216</v>
      </c>
      <c r="H103" s="360">
        <v>7216</v>
      </c>
      <c r="I103" s="360">
        <v>7216</v>
      </c>
      <c r="J103" s="360">
        <v>7216</v>
      </c>
      <c r="K103" s="360">
        <v>7216</v>
      </c>
      <c r="L103" s="360">
        <v>7216</v>
      </c>
      <c r="M103" s="360">
        <v>7216</v>
      </c>
      <c r="N103" s="360">
        <v>7216</v>
      </c>
      <c r="O103" s="360">
        <v>7216</v>
      </c>
      <c r="P103" s="360">
        <v>7216</v>
      </c>
      <c r="Q103" s="360">
        <v>7216</v>
      </c>
      <c r="R103" s="360">
        <v>1771</v>
      </c>
      <c r="S103" s="360"/>
      <c r="T103" s="360"/>
      <c r="U103" s="361"/>
      <c r="V103" s="350">
        <f t="shared" si="2"/>
        <v>81147</v>
      </c>
      <c r="X103" s="345"/>
    </row>
    <row r="104" spans="1:24" s="337" customFormat="1" ht="12.75">
      <c r="A104" s="435"/>
      <c r="B104" s="351" t="s">
        <v>619</v>
      </c>
      <c r="C104" s="437"/>
      <c r="D104" s="443"/>
      <c r="E104" s="452"/>
      <c r="F104" s="353">
        <v>0.00548</v>
      </c>
      <c r="G104" s="396">
        <v>865.53</v>
      </c>
      <c r="H104" s="354">
        <v>485</v>
      </c>
      <c r="I104" s="354">
        <v>665</v>
      </c>
      <c r="J104" s="354">
        <v>594</v>
      </c>
      <c r="K104" s="354">
        <v>519</v>
      </c>
      <c r="L104" s="354">
        <v>446</v>
      </c>
      <c r="M104" s="354">
        <v>372</v>
      </c>
      <c r="N104" s="354">
        <v>300</v>
      </c>
      <c r="O104" s="354">
        <v>226</v>
      </c>
      <c r="P104" s="354">
        <v>153</v>
      </c>
      <c r="Q104" s="354">
        <v>80</v>
      </c>
      <c r="R104" s="354">
        <v>12</v>
      </c>
      <c r="S104" s="354"/>
      <c r="T104" s="354"/>
      <c r="U104" s="362"/>
      <c r="V104" s="357">
        <f t="shared" si="2"/>
        <v>4717.53</v>
      </c>
      <c r="X104" s="345"/>
    </row>
    <row r="105" spans="1:24" s="337" customFormat="1" ht="12.75" customHeight="1">
      <c r="A105" s="434">
        <v>50</v>
      </c>
      <c r="B105" s="346" t="s">
        <v>494</v>
      </c>
      <c r="C105" s="436" t="s">
        <v>589</v>
      </c>
      <c r="D105" s="448">
        <v>548151.96</v>
      </c>
      <c r="E105" s="451" t="s">
        <v>620</v>
      </c>
      <c r="F105" s="363" t="s">
        <v>491</v>
      </c>
      <c r="G105" s="360">
        <v>1000</v>
      </c>
      <c r="H105" s="360">
        <v>35880</v>
      </c>
      <c r="I105" s="360">
        <v>35880</v>
      </c>
      <c r="J105" s="360">
        <v>35880</v>
      </c>
      <c r="K105" s="360">
        <v>35880</v>
      </c>
      <c r="L105" s="360">
        <v>35880</v>
      </c>
      <c r="M105" s="360">
        <v>35880</v>
      </c>
      <c r="N105" s="360">
        <v>35880</v>
      </c>
      <c r="O105" s="360">
        <v>35880</v>
      </c>
      <c r="P105" s="360">
        <v>35880</v>
      </c>
      <c r="Q105" s="360">
        <v>35880</v>
      </c>
      <c r="R105" s="360">
        <v>35880</v>
      </c>
      <c r="S105" s="360">
        <v>35880</v>
      </c>
      <c r="T105" s="360">
        <v>35880</v>
      </c>
      <c r="U105" s="361">
        <v>80711.96</v>
      </c>
      <c r="V105" s="350">
        <f t="shared" si="2"/>
        <v>548151.96</v>
      </c>
      <c r="X105" s="345"/>
    </row>
    <row r="106" spans="1:24" s="337" customFormat="1" ht="12.75">
      <c r="A106" s="435"/>
      <c r="B106" s="351" t="s">
        <v>621</v>
      </c>
      <c r="C106" s="437"/>
      <c r="D106" s="449"/>
      <c r="E106" s="452"/>
      <c r="F106" s="353">
        <v>0.0115</v>
      </c>
      <c r="G106" s="396">
        <v>6293.8</v>
      </c>
      <c r="H106" s="354">
        <v>3728</v>
      </c>
      <c r="I106" s="354">
        <v>5128</v>
      </c>
      <c r="J106" s="354">
        <v>4777</v>
      </c>
      <c r="K106" s="354">
        <v>4399</v>
      </c>
      <c r="L106" s="354">
        <v>4036</v>
      </c>
      <c r="M106" s="354">
        <v>3673</v>
      </c>
      <c r="N106" s="354">
        <v>3318</v>
      </c>
      <c r="O106" s="354">
        <v>2945</v>
      </c>
      <c r="P106" s="354">
        <v>2581</v>
      </c>
      <c r="Q106" s="354">
        <v>2217</v>
      </c>
      <c r="R106" s="354">
        <v>1859</v>
      </c>
      <c r="S106" s="354">
        <v>1490</v>
      </c>
      <c r="T106" s="354">
        <v>1126</v>
      </c>
      <c r="U106" s="362">
        <v>1225</v>
      </c>
      <c r="V106" s="357">
        <f t="shared" si="2"/>
        <v>48795.8</v>
      </c>
      <c r="X106" s="345"/>
    </row>
    <row r="107" spans="1:24" s="337" customFormat="1" ht="12.75" customHeight="1">
      <c r="A107" s="434">
        <v>51</v>
      </c>
      <c r="B107" s="346" t="s">
        <v>494</v>
      </c>
      <c r="C107" s="436" t="s">
        <v>622</v>
      </c>
      <c r="D107" s="448">
        <v>167721.29</v>
      </c>
      <c r="E107" s="451" t="s">
        <v>620</v>
      </c>
      <c r="F107" s="363" t="s">
        <v>491</v>
      </c>
      <c r="G107" s="360">
        <v>14908</v>
      </c>
      <c r="H107" s="360">
        <v>14908</v>
      </c>
      <c r="I107" s="360">
        <v>14908</v>
      </c>
      <c r="J107" s="360">
        <v>14908</v>
      </c>
      <c r="K107" s="360">
        <v>14908</v>
      </c>
      <c r="L107" s="360">
        <v>14908</v>
      </c>
      <c r="M107" s="360">
        <v>14908</v>
      </c>
      <c r="N107" s="360">
        <v>14908</v>
      </c>
      <c r="O107" s="360">
        <v>14908</v>
      </c>
      <c r="P107" s="360">
        <v>14908</v>
      </c>
      <c r="Q107" s="360">
        <v>14908</v>
      </c>
      <c r="R107" s="360">
        <v>3733.29</v>
      </c>
      <c r="S107" s="360"/>
      <c r="T107" s="360"/>
      <c r="U107" s="361"/>
      <c r="V107" s="350">
        <f t="shared" si="2"/>
        <v>167721.29</v>
      </c>
      <c r="X107" s="345"/>
    </row>
    <row r="108" spans="1:24" s="337" customFormat="1" ht="12.75">
      <c r="A108" s="435"/>
      <c r="B108" s="351" t="s">
        <v>623</v>
      </c>
      <c r="C108" s="437"/>
      <c r="D108" s="449"/>
      <c r="E108" s="452"/>
      <c r="F108" s="353">
        <v>0.0115</v>
      </c>
      <c r="G108" s="396">
        <v>1889.78</v>
      </c>
      <c r="H108" s="354">
        <v>1037</v>
      </c>
      <c r="I108" s="354">
        <v>1375</v>
      </c>
      <c r="J108" s="354">
        <v>1227</v>
      </c>
      <c r="K108" s="354">
        <v>1072</v>
      </c>
      <c r="L108" s="354">
        <v>921</v>
      </c>
      <c r="M108" s="354">
        <v>770</v>
      </c>
      <c r="N108" s="354">
        <v>621</v>
      </c>
      <c r="O108" s="354">
        <v>468</v>
      </c>
      <c r="P108" s="354">
        <v>317</v>
      </c>
      <c r="Q108" s="354">
        <v>165</v>
      </c>
      <c r="R108" s="354">
        <v>26</v>
      </c>
      <c r="S108" s="354"/>
      <c r="T108" s="354"/>
      <c r="U108" s="362"/>
      <c r="V108" s="357">
        <f t="shared" si="2"/>
        <v>9888.779999999999</v>
      </c>
      <c r="X108" s="345"/>
    </row>
    <row r="109" spans="1:24" s="337" customFormat="1" ht="12.75" customHeight="1">
      <c r="A109" s="434">
        <v>52</v>
      </c>
      <c r="B109" s="346" t="s">
        <v>494</v>
      </c>
      <c r="C109" s="436" t="s">
        <v>581</v>
      </c>
      <c r="D109" s="448">
        <v>422004.52</v>
      </c>
      <c r="E109" s="451" t="s">
        <v>624</v>
      </c>
      <c r="F109" s="363" t="s">
        <v>491</v>
      </c>
      <c r="G109" s="360">
        <v>1000</v>
      </c>
      <c r="H109" s="360">
        <v>27608</v>
      </c>
      <c r="I109" s="360">
        <v>27608</v>
      </c>
      <c r="J109" s="360">
        <v>27608</v>
      </c>
      <c r="K109" s="360">
        <v>27608</v>
      </c>
      <c r="L109" s="360">
        <v>27608</v>
      </c>
      <c r="M109" s="360">
        <v>27608</v>
      </c>
      <c r="N109" s="360">
        <v>27608</v>
      </c>
      <c r="O109" s="360">
        <v>27608</v>
      </c>
      <c r="P109" s="360">
        <v>27608</v>
      </c>
      <c r="Q109" s="360">
        <v>27608</v>
      </c>
      <c r="R109" s="360">
        <v>27608</v>
      </c>
      <c r="S109" s="360">
        <v>27608</v>
      </c>
      <c r="T109" s="360">
        <v>27608</v>
      </c>
      <c r="U109" s="361">
        <v>62100.52</v>
      </c>
      <c r="V109" s="350">
        <f t="shared" si="2"/>
        <v>422004.52</v>
      </c>
      <c r="X109" s="345"/>
    </row>
    <row r="110" spans="1:24" s="337" customFormat="1" ht="12.75">
      <c r="A110" s="435"/>
      <c r="B110" s="351" t="s">
        <v>625</v>
      </c>
      <c r="C110" s="437"/>
      <c r="D110" s="449"/>
      <c r="E110" s="452"/>
      <c r="F110" s="353">
        <v>0.00548</v>
      </c>
      <c r="G110" s="396">
        <v>4725.81</v>
      </c>
      <c r="H110" s="354">
        <v>2777</v>
      </c>
      <c r="I110" s="354">
        <v>3945</v>
      </c>
      <c r="J110" s="354">
        <v>3676</v>
      </c>
      <c r="K110" s="354">
        <v>3386</v>
      </c>
      <c r="L110" s="354">
        <v>3106</v>
      </c>
      <c r="M110" s="354">
        <v>2826</v>
      </c>
      <c r="N110" s="354">
        <v>2553</v>
      </c>
      <c r="O110" s="354">
        <v>2266</v>
      </c>
      <c r="P110" s="354">
        <v>1986</v>
      </c>
      <c r="Q110" s="354">
        <v>1706</v>
      </c>
      <c r="R110" s="354">
        <v>1430</v>
      </c>
      <c r="S110" s="354">
        <v>1146</v>
      </c>
      <c r="T110" s="354">
        <v>866</v>
      </c>
      <c r="U110" s="362">
        <v>942</v>
      </c>
      <c r="V110" s="357">
        <f t="shared" si="2"/>
        <v>37336.81</v>
      </c>
      <c r="X110" s="345"/>
    </row>
    <row r="111" spans="1:24" s="337" customFormat="1" ht="12.75" customHeight="1">
      <c r="A111" s="434">
        <v>53</v>
      </c>
      <c r="B111" s="346" t="s">
        <v>494</v>
      </c>
      <c r="C111" s="436" t="s">
        <v>626</v>
      </c>
      <c r="D111" s="448">
        <v>128717.79</v>
      </c>
      <c r="E111" s="451" t="s">
        <v>627</v>
      </c>
      <c r="F111" s="363" t="s">
        <v>491</v>
      </c>
      <c r="G111" s="360">
        <v>11444</v>
      </c>
      <c r="H111" s="360">
        <v>11444</v>
      </c>
      <c r="I111" s="360">
        <v>11444</v>
      </c>
      <c r="J111" s="360">
        <v>11444</v>
      </c>
      <c r="K111" s="360">
        <v>11444</v>
      </c>
      <c r="L111" s="360">
        <v>11444</v>
      </c>
      <c r="M111" s="360">
        <v>11444</v>
      </c>
      <c r="N111" s="360">
        <v>11444</v>
      </c>
      <c r="O111" s="360">
        <v>11444</v>
      </c>
      <c r="P111" s="360">
        <v>11444</v>
      </c>
      <c r="Q111" s="360">
        <v>11444</v>
      </c>
      <c r="R111" s="360">
        <v>2833.79</v>
      </c>
      <c r="S111" s="360"/>
      <c r="T111" s="360"/>
      <c r="U111" s="361"/>
      <c r="V111" s="350">
        <f t="shared" si="2"/>
        <v>128717.79</v>
      </c>
      <c r="X111" s="345"/>
    </row>
    <row r="112" spans="1:24" s="337" customFormat="1" ht="12.75">
      <c r="A112" s="435"/>
      <c r="B112" s="351" t="s">
        <v>628</v>
      </c>
      <c r="C112" s="437"/>
      <c r="D112" s="449"/>
      <c r="E112" s="452"/>
      <c r="F112" s="353">
        <v>0.0115</v>
      </c>
      <c r="G112" s="396">
        <v>1450.32</v>
      </c>
      <c r="H112" s="354">
        <v>1171</v>
      </c>
      <c r="I112" s="354">
        <v>1055</v>
      </c>
      <c r="J112" s="354">
        <v>942</v>
      </c>
      <c r="K112" s="354">
        <v>823</v>
      </c>
      <c r="L112" s="354">
        <v>707</v>
      </c>
      <c r="M112" s="354">
        <v>591</v>
      </c>
      <c r="N112" s="354">
        <v>476</v>
      </c>
      <c r="O112" s="354">
        <v>359</v>
      </c>
      <c r="P112" s="354">
        <v>243</v>
      </c>
      <c r="Q112" s="354">
        <v>127</v>
      </c>
      <c r="R112" s="354">
        <v>20</v>
      </c>
      <c r="S112" s="354"/>
      <c r="T112" s="354"/>
      <c r="U112" s="362"/>
      <c r="V112" s="357">
        <f t="shared" si="2"/>
        <v>7964.32</v>
      </c>
      <c r="X112" s="345"/>
    </row>
    <row r="113" spans="1:24" s="337" customFormat="1" ht="12.75" customHeight="1">
      <c r="A113" s="434">
        <v>54</v>
      </c>
      <c r="B113" s="346" t="s">
        <v>494</v>
      </c>
      <c r="C113" s="436" t="s">
        <v>629</v>
      </c>
      <c r="D113" s="448">
        <v>356064.57</v>
      </c>
      <c r="E113" s="451" t="s">
        <v>630</v>
      </c>
      <c r="F113" s="363" t="s">
        <v>491</v>
      </c>
      <c r="G113" s="360">
        <v>31652</v>
      </c>
      <c r="H113" s="360">
        <v>31652</v>
      </c>
      <c r="I113" s="360">
        <v>31652</v>
      </c>
      <c r="J113" s="360">
        <v>31652</v>
      </c>
      <c r="K113" s="360">
        <v>31652</v>
      </c>
      <c r="L113" s="360">
        <v>31652</v>
      </c>
      <c r="M113" s="360">
        <v>31652</v>
      </c>
      <c r="N113" s="360">
        <v>31652</v>
      </c>
      <c r="O113" s="360">
        <v>31652</v>
      </c>
      <c r="P113" s="360">
        <v>31652</v>
      </c>
      <c r="Q113" s="360">
        <v>31652</v>
      </c>
      <c r="R113" s="360">
        <v>7892.57</v>
      </c>
      <c r="S113" s="360"/>
      <c r="T113" s="360"/>
      <c r="U113" s="361"/>
      <c r="V113" s="350">
        <f t="shared" si="2"/>
        <v>356064.57</v>
      </c>
      <c r="X113" s="345"/>
    </row>
    <row r="114" spans="1:24" s="337" customFormat="1" ht="12.75">
      <c r="A114" s="435"/>
      <c r="B114" s="351" t="s">
        <v>631</v>
      </c>
      <c r="C114" s="437"/>
      <c r="D114" s="449"/>
      <c r="E114" s="452"/>
      <c r="F114" s="353">
        <v>0.0089</v>
      </c>
      <c r="G114" s="354">
        <v>3406</v>
      </c>
      <c r="H114" s="354">
        <v>3240</v>
      </c>
      <c r="I114" s="354">
        <v>2919</v>
      </c>
      <c r="J114" s="354">
        <v>2605</v>
      </c>
      <c r="K114" s="354">
        <v>2277</v>
      </c>
      <c r="L114" s="354">
        <v>1956</v>
      </c>
      <c r="M114" s="354">
        <v>1635</v>
      </c>
      <c r="N114" s="354">
        <v>1318</v>
      </c>
      <c r="O114" s="354">
        <v>993</v>
      </c>
      <c r="P114" s="354">
        <v>672</v>
      </c>
      <c r="Q114" s="354">
        <v>351</v>
      </c>
      <c r="R114" s="354">
        <v>56</v>
      </c>
      <c r="S114" s="354"/>
      <c r="T114" s="354"/>
      <c r="U114" s="362"/>
      <c r="V114" s="357">
        <f t="shared" si="2"/>
        <v>21428</v>
      </c>
      <c r="X114" s="345"/>
    </row>
    <row r="115" spans="1:24" s="337" customFormat="1" ht="12.75" customHeight="1">
      <c r="A115" s="434">
        <v>55</v>
      </c>
      <c r="B115" s="346" t="s">
        <v>494</v>
      </c>
      <c r="C115" s="436" t="s">
        <v>632</v>
      </c>
      <c r="D115" s="448">
        <v>395137.87</v>
      </c>
      <c r="E115" s="451" t="s">
        <v>630</v>
      </c>
      <c r="F115" s="363" t="s">
        <v>491</v>
      </c>
      <c r="G115" s="360">
        <f>35124-30616</f>
        <v>4508</v>
      </c>
      <c r="H115" s="360">
        <v>25616</v>
      </c>
      <c r="I115" s="360">
        <v>25616</v>
      </c>
      <c r="J115" s="360">
        <v>25616</v>
      </c>
      <c r="K115" s="360">
        <v>25616</v>
      </c>
      <c r="L115" s="360">
        <v>25616</v>
      </c>
      <c r="M115" s="360">
        <v>25616</v>
      </c>
      <c r="N115" s="360">
        <v>25616</v>
      </c>
      <c r="O115" s="360">
        <v>25616</v>
      </c>
      <c r="P115" s="360">
        <v>25616</v>
      </c>
      <c r="Q115" s="360">
        <v>25616</v>
      </c>
      <c r="R115" s="360">
        <v>25616</v>
      </c>
      <c r="S115" s="360">
        <v>25616</v>
      </c>
      <c r="T115" s="360">
        <v>25616</v>
      </c>
      <c r="U115" s="361">
        <v>57621.87</v>
      </c>
      <c r="V115" s="350">
        <f t="shared" si="2"/>
        <v>395137.87</v>
      </c>
      <c r="X115" s="345"/>
    </row>
    <row r="116" spans="1:24" s="337" customFormat="1" ht="12.75">
      <c r="A116" s="435"/>
      <c r="B116" s="351" t="s">
        <v>633</v>
      </c>
      <c r="C116" s="437"/>
      <c r="D116" s="449"/>
      <c r="E116" s="452"/>
      <c r="F116" s="353">
        <v>0.0089</v>
      </c>
      <c r="G116" s="396">
        <v>3840.68</v>
      </c>
      <c r="H116" s="354">
        <v>3909</v>
      </c>
      <c r="I116" s="354">
        <v>3661</v>
      </c>
      <c r="J116" s="354">
        <v>3411</v>
      </c>
      <c r="K116" s="354">
        <v>3141</v>
      </c>
      <c r="L116" s="354">
        <v>2882</v>
      </c>
      <c r="M116" s="354">
        <v>2662</v>
      </c>
      <c r="N116" s="354">
        <v>2369</v>
      </c>
      <c r="O116" s="354">
        <v>2103</v>
      </c>
      <c r="P116" s="354">
        <v>1843</v>
      </c>
      <c r="Q116" s="354">
        <v>1583</v>
      </c>
      <c r="R116" s="354">
        <v>1327</v>
      </c>
      <c r="S116" s="354">
        <v>1064</v>
      </c>
      <c r="T116" s="354">
        <v>804</v>
      </c>
      <c r="U116" s="362">
        <v>874</v>
      </c>
      <c r="V116" s="357">
        <f t="shared" si="2"/>
        <v>35473.68</v>
      </c>
      <c r="X116" s="345"/>
    </row>
    <row r="117" spans="1:24" s="337" customFormat="1" ht="12.75" customHeight="1">
      <c r="A117" s="434">
        <v>56</v>
      </c>
      <c r="B117" s="346" t="s">
        <v>494</v>
      </c>
      <c r="C117" s="436" t="s">
        <v>634</v>
      </c>
      <c r="D117" s="448">
        <v>98542.53</v>
      </c>
      <c r="E117" s="451" t="s">
        <v>630</v>
      </c>
      <c r="F117" s="363" t="s">
        <v>491</v>
      </c>
      <c r="G117" s="360">
        <v>8760</v>
      </c>
      <c r="H117" s="360">
        <v>8760</v>
      </c>
      <c r="I117" s="360">
        <v>8760</v>
      </c>
      <c r="J117" s="360">
        <v>8760</v>
      </c>
      <c r="K117" s="360">
        <v>8760</v>
      </c>
      <c r="L117" s="360">
        <v>8760</v>
      </c>
      <c r="M117" s="360">
        <v>8760</v>
      </c>
      <c r="N117" s="360">
        <v>8760</v>
      </c>
      <c r="O117" s="360">
        <v>8760</v>
      </c>
      <c r="P117" s="360">
        <v>8760</v>
      </c>
      <c r="Q117" s="360">
        <v>8760</v>
      </c>
      <c r="R117" s="360">
        <v>2182.53</v>
      </c>
      <c r="S117" s="360"/>
      <c r="T117" s="360"/>
      <c r="U117" s="361"/>
      <c r="V117" s="350">
        <f t="shared" si="2"/>
        <v>98542.53</v>
      </c>
      <c r="X117" s="345"/>
    </row>
    <row r="118" spans="1:24" s="337" customFormat="1" ht="12.75">
      <c r="A118" s="435"/>
      <c r="B118" s="351" t="s">
        <v>635</v>
      </c>
      <c r="C118" s="437"/>
      <c r="D118" s="449"/>
      <c r="E118" s="452"/>
      <c r="F118" s="353">
        <v>0.0089</v>
      </c>
      <c r="G118" s="396">
        <v>942.63</v>
      </c>
      <c r="H118" s="354">
        <v>897</v>
      </c>
      <c r="I118" s="354">
        <v>808</v>
      </c>
      <c r="J118" s="354">
        <v>721</v>
      </c>
      <c r="K118" s="354">
        <v>630</v>
      </c>
      <c r="L118" s="354">
        <v>541</v>
      </c>
      <c r="M118" s="354">
        <v>453</v>
      </c>
      <c r="N118" s="354">
        <v>365</v>
      </c>
      <c r="O118" s="354">
        <v>275</v>
      </c>
      <c r="P118" s="354">
        <v>186</v>
      </c>
      <c r="Q118" s="354">
        <v>97</v>
      </c>
      <c r="R118" s="354">
        <v>15</v>
      </c>
      <c r="S118" s="354"/>
      <c r="T118" s="354"/>
      <c r="U118" s="362"/>
      <c r="V118" s="357">
        <f t="shared" si="2"/>
        <v>5930.63</v>
      </c>
      <c r="X118" s="345"/>
    </row>
    <row r="119" spans="1:24" s="337" customFormat="1" ht="12.75" customHeight="1">
      <c r="A119" s="434">
        <v>57</v>
      </c>
      <c r="B119" s="346" t="s">
        <v>494</v>
      </c>
      <c r="C119" s="436" t="s">
        <v>636</v>
      </c>
      <c r="D119" s="448">
        <v>125508.02</v>
      </c>
      <c r="E119" s="451" t="s">
        <v>637</v>
      </c>
      <c r="F119" s="363" t="s">
        <v>491</v>
      </c>
      <c r="G119" s="360">
        <v>76834.97</v>
      </c>
      <c r="H119" s="360"/>
      <c r="I119" s="360"/>
      <c r="J119" s="360"/>
      <c r="K119" s="360"/>
      <c r="L119" s="360"/>
      <c r="M119" s="360"/>
      <c r="N119" s="360">
        <v>1257</v>
      </c>
      <c r="O119" s="360">
        <v>11156</v>
      </c>
      <c r="P119" s="360">
        <v>11156</v>
      </c>
      <c r="Q119" s="360">
        <v>11156</v>
      </c>
      <c r="R119" s="360">
        <v>11156</v>
      </c>
      <c r="S119" s="360">
        <v>2792.02</v>
      </c>
      <c r="T119" s="360"/>
      <c r="U119" s="361"/>
      <c r="V119" s="350">
        <f t="shared" si="2"/>
        <v>125507.99</v>
      </c>
      <c r="X119" s="345"/>
    </row>
    <row r="120" spans="1:24" s="337" customFormat="1" ht="12.75">
      <c r="A120" s="435"/>
      <c r="B120" s="351" t="s">
        <v>638</v>
      </c>
      <c r="C120" s="437"/>
      <c r="D120" s="449"/>
      <c r="E120" s="452"/>
      <c r="F120" s="353">
        <v>0.00606</v>
      </c>
      <c r="G120" s="396">
        <v>1623.01</v>
      </c>
      <c r="H120" s="354">
        <v>397</v>
      </c>
      <c r="I120" s="354">
        <v>493</v>
      </c>
      <c r="J120" s="354">
        <v>495</v>
      </c>
      <c r="K120" s="354">
        <v>493</v>
      </c>
      <c r="L120" s="354">
        <v>493</v>
      </c>
      <c r="M120" s="354">
        <v>493</v>
      </c>
      <c r="N120" s="354">
        <v>495</v>
      </c>
      <c r="O120" s="354">
        <v>463</v>
      </c>
      <c r="P120" s="354">
        <v>350</v>
      </c>
      <c r="Q120" s="354">
        <v>237</v>
      </c>
      <c r="R120" s="354">
        <v>124</v>
      </c>
      <c r="S120" s="354">
        <v>20</v>
      </c>
      <c r="T120" s="354"/>
      <c r="U120" s="362"/>
      <c r="V120" s="357">
        <f t="shared" si="2"/>
        <v>6176.01</v>
      </c>
      <c r="X120" s="345"/>
    </row>
    <row r="121" spans="1:24" s="337" customFormat="1" ht="12.75" customHeight="1">
      <c r="A121" s="434">
        <v>58</v>
      </c>
      <c r="B121" s="346" t="s">
        <v>494</v>
      </c>
      <c r="C121" s="436" t="s">
        <v>639</v>
      </c>
      <c r="D121" s="448">
        <v>16793.83</v>
      </c>
      <c r="E121" s="451" t="s">
        <v>640</v>
      </c>
      <c r="F121" s="363" t="s">
        <v>491</v>
      </c>
      <c r="G121" s="360">
        <v>16793.83</v>
      </c>
      <c r="H121" s="360"/>
      <c r="I121" s="360"/>
      <c r="J121" s="360"/>
      <c r="K121" s="360"/>
      <c r="L121" s="360"/>
      <c r="M121" s="360"/>
      <c r="N121" s="360"/>
      <c r="O121" s="360"/>
      <c r="P121" s="360"/>
      <c r="Q121" s="360"/>
      <c r="R121" s="360"/>
      <c r="S121" s="360"/>
      <c r="T121" s="360"/>
      <c r="U121" s="361"/>
      <c r="V121" s="350">
        <f t="shared" si="2"/>
        <v>16793.83</v>
      </c>
      <c r="X121" s="345"/>
    </row>
    <row r="122" spans="1:24" s="337" customFormat="1" ht="12.75">
      <c r="A122" s="435"/>
      <c r="B122" s="351" t="s">
        <v>641</v>
      </c>
      <c r="C122" s="437"/>
      <c r="D122" s="449"/>
      <c r="E122" s="452"/>
      <c r="F122" s="353">
        <v>0.00606</v>
      </c>
      <c r="G122" s="396">
        <f>218.79</f>
        <v>218.79</v>
      </c>
      <c r="H122" s="354">
        <v>23</v>
      </c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62"/>
      <c r="V122" s="357">
        <f t="shared" si="2"/>
        <v>241.79</v>
      </c>
      <c r="X122" s="345"/>
    </row>
    <row r="123" spans="1:24" s="337" customFormat="1" ht="12.75" customHeight="1">
      <c r="A123" s="434">
        <v>59</v>
      </c>
      <c r="B123" s="346" t="s">
        <v>494</v>
      </c>
      <c r="C123" s="436" t="s">
        <v>642</v>
      </c>
      <c r="D123" s="442">
        <v>53276.1</v>
      </c>
      <c r="E123" s="451" t="s">
        <v>640</v>
      </c>
      <c r="F123" s="363" t="s">
        <v>491</v>
      </c>
      <c r="G123" s="360"/>
      <c r="H123" s="360">
        <v>3548</v>
      </c>
      <c r="I123" s="360">
        <v>4736</v>
      </c>
      <c r="J123" s="360">
        <v>4736</v>
      </c>
      <c r="K123" s="360">
        <v>4736</v>
      </c>
      <c r="L123" s="360">
        <v>4736</v>
      </c>
      <c r="M123" s="360">
        <v>4736</v>
      </c>
      <c r="N123" s="360">
        <v>4736</v>
      </c>
      <c r="O123" s="360">
        <v>4736</v>
      </c>
      <c r="P123" s="360">
        <v>4736</v>
      </c>
      <c r="Q123" s="360">
        <v>4736</v>
      </c>
      <c r="R123" s="360">
        <v>4736</v>
      </c>
      <c r="S123" s="360">
        <v>2368</v>
      </c>
      <c r="T123" s="360"/>
      <c r="U123" s="361"/>
      <c r="V123" s="350">
        <f t="shared" si="2"/>
        <v>53276</v>
      </c>
      <c r="X123" s="345"/>
    </row>
    <row r="124" spans="1:24" s="337" customFormat="1" ht="12.75">
      <c r="A124" s="435"/>
      <c r="B124" s="351" t="s">
        <v>643</v>
      </c>
      <c r="C124" s="437"/>
      <c r="D124" s="443"/>
      <c r="E124" s="452"/>
      <c r="F124" s="353">
        <v>0.00606</v>
      </c>
      <c r="G124" s="396">
        <v>730.47</v>
      </c>
      <c r="H124" s="354">
        <v>429</v>
      </c>
      <c r="I124" s="354">
        <v>497</v>
      </c>
      <c r="J124" s="354">
        <v>450</v>
      </c>
      <c r="K124" s="354">
        <v>401</v>
      </c>
      <c r="L124" s="354">
        <v>353</v>
      </c>
      <c r="M124" s="354">
        <v>305</v>
      </c>
      <c r="N124" s="354">
        <v>257</v>
      </c>
      <c r="O124" s="354">
        <v>209</v>
      </c>
      <c r="P124" s="354">
        <v>161</v>
      </c>
      <c r="Q124" s="354">
        <v>113</v>
      </c>
      <c r="R124" s="354">
        <v>65</v>
      </c>
      <c r="S124" s="354">
        <v>17</v>
      </c>
      <c r="T124" s="354"/>
      <c r="U124" s="362"/>
      <c r="V124" s="357">
        <f t="shared" si="2"/>
        <v>3987.4700000000003</v>
      </c>
      <c r="X124" s="345"/>
    </row>
    <row r="125" spans="1:24" s="337" customFormat="1" ht="12.75" customHeight="1">
      <c r="A125" s="434">
        <v>60</v>
      </c>
      <c r="B125" s="346" t="s">
        <v>494</v>
      </c>
      <c r="C125" s="436" t="s">
        <v>644</v>
      </c>
      <c r="D125" s="442">
        <v>44076</v>
      </c>
      <c r="E125" s="451" t="s">
        <v>640</v>
      </c>
      <c r="F125" s="363" t="s">
        <v>491</v>
      </c>
      <c r="G125" s="360">
        <f>19203.91+8230.24</f>
        <v>27434.15</v>
      </c>
      <c r="H125" s="360"/>
      <c r="I125" s="360"/>
      <c r="J125" s="360"/>
      <c r="K125" s="360"/>
      <c r="L125" s="360"/>
      <c r="M125" s="360"/>
      <c r="N125" s="360"/>
      <c r="O125" s="360">
        <v>3894</v>
      </c>
      <c r="P125" s="360">
        <v>3916</v>
      </c>
      <c r="Q125" s="360">
        <v>3916</v>
      </c>
      <c r="R125" s="360">
        <v>3916</v>
      </c>
      <c r="S125" s="360">
        <v>1000</v>
      </c>
      <c r="T125" s="360"/>
      <c r="U125" s="361"/>
      <c r="V125" s="350">
        <f t="shared" si="2"/>
        <v>44076.15</v>
      </c>
      <c r="X125" s="345"/>
    </row>
    <row r="126" spans="1:24" s="337" customFormat="1" ht="12.75">
      <c r="A126" s="435"/>
      <c r="B126" s="351" t="s">
        <v>645</v>
      </c>
      <c r="C126" s="437"/>
      <c r="D126" s="443"/>
      <c r="E126" s="452"/>
      <c r="F126" s="353">
        <v>0.00606</v>
      </c>
      <c r="G126" s="396">
        <v>526.25</v>
      </c>
      <c r="H126" s="354">
        <v>136</v>
      </c>
      <c r="I126" s="354">
        <v>169</v>
      </c>
      <c r="J126" s="354">
        <v>169</v>
      </c>
      <c r="K126" s="354">
        <v>169</v>
      </c>
      <c r="L126" s="354">
        <v>169</v>
      </c>
      <c r="M126" s="354">
        <v>169</v>
      </c>
      <c r="N126" s="354">
        <v>169</v>
      </c>
      <c r="O126" s="354">
        <v>161</v>
      </c>
      <c r="P126" s="354">
        <v>123</v>
      </c>
      <c r="Q126" s="354">
        <v>83</v>
      </c>
      <c r="R126" s="354">
        <v>44</v>
      </c>
      <c r="S126" s="354">
        <v>7</v>
      </c>
      <c r="T126" s="354"/>
      <c r="U126" s="362"/>
      <c r="V126" s="357">
        <f t="shared" si="2"/>
        <v>2094.25</v>
      </c>
      <c r="X126" s="345"/>
    </row>
    <row r="127" spans="1:24" s="337" customFormat="1" ht="12.75" customHeight="1">
      <c r="A127" s="434">
        <v>61</v>
      </c>
      <c r="B127" s="346" t="s">
        <v>494</v>
      </c>
      <c r="C127" s="436" t="s">
        <v>646</v>
      </c>
      <c r="D127" s="448">
        <v>641472.45</v>
      </c>
      <c r="E127" s="451" t="s">
        <v>647</v>
      </c>
      <c r="F127" s="363" t="s">
        <v>491</v>
      </c>
      <c r="G127" s="360"/>
      <c r="H127" s="360">
        <v>42765</v>
      </c>
      <c r="I127" s="360">
        <v>57020</v>
      </c>
      <c r="J127" s="360">
        <v>57020</v>
      </c>
      <c r="K127" s="360">
        <v>57020</v>
      </c>
      <c r="L127" s="360">
        <v>57020</v>
      </c>
      <c r="M127" s="360">
        <v>57020</v>
      </c>
      <c r="N127" s="360">
        <v>57020</v>
      </c>
      <c r="O127" s="360">
        <v>57020</v>
      </c>
      <c r="P127" s="360">
        <v>57020</v>
      </c>
      <c r="Q127" s="360">
        <v>57020</v>
      </c>
      <c r="R127" s="360">
        <v>57020</v>
      </c>
      <c r="S127" s="360">
        <v>28507.45</v>
      </c>
      <c r="T127" s="360"/>
      <c r="U127" s="361"/>
      <c r="V127" s="350">
        <f t="shared" si="2"/>
        <v>641472.45</v>
      </c>
      <c r="X127" s="345"/>
    </row>
    <row r="128" spans="1:24" s="337" customFormat="1" ht="12.75">
      <c r="A128" s="435"/>
      <c r="B128" s="351" t="s">
        <v>648</v>
      </c>
      <c r="C128" s="437"/>
      <c r="D128" s="449"/>
      <c r="E128" s="452"/>
      <c r="F128" s="353">
        <v>0.0055</v>
      </c>
      <c r="G128" s="396">
        <v>9018.11</v>
      </c>
      <c r="H128" s="354">
        <v>4989</v>
      </c>
      <c r="I128" s="354">
        <v>5981</v>
      </c>
      <c r="J128" s="354">
        <v>5418</v>
      </c>
      <c r="K128" s="354">
        <v>4825</v>
      </c>
      <c r="L128" s="354">
        <v>4247</v>
      </c>
      <c r="M128" s="354">
        <v>3669</v>
      </c>
      <c r="N128" s="354">
        <v>3099</v>
      </c>
      <c r="O128" s="354">
        <v>2512</v>
      </c>
      <c r="P128" s="354">
        <v>1934</v>
      </c>
      <c r="Q128" s="354">
        <v>1356</v>
      </c>
      <c r="R128" s="354">
        <v>780</v>
      </c>
      <c r="S128" s="354">
        <v>204</v>
      </c>
      <c r="T128" s="354"/>
      <c r="U128" s="362"/>
      <c r="V128" s="357">
        <f t="shared" si="2"/>
        <v>48032.11</v>
      </c>
      <c r="X128" s="345"/>
    </row>
    <row r="129" spans="1:24" s="337" customFormat="1" ht="12.75" customHeight="1">
      <c r="A129" s="434">
        <v>62</v>
      </c>
      <c r="B129" s="346" t="s">
        <v>494</v>
      </c>
      <c r="C129" s="436" t="s">
        <v>649</v>
      </c>
      <c r="D129" s="448">
        <v>109791.07</v>
      </c>
      <c r="E129" s="451" t="s">
        <v>650</v>
      </c>
      <c r="F129" s="363" t="s">
        <v>491</v>
      </c>
      <c r="G129" s="360"/>
      <c r="H129" s="360">
        <v>7320</v>
      </c>
      <c r="I129" s="360">
        <v>9760</v>
      </c>
      <c r="J129" s="360">
        <v>9760</v>
      </c>
      <c r="K129" s="360">
        <v>9760</v>
      </c>
      <c r="L129" s="360">
        <v>9760</v>
      </c>
      <c r="M129" s="360">
        <v>9760</v>
      </c>
      <c r="N129" s="360">
        <v>9760</v>
      </c>
      <c r="O129" s="360">
        <v>9760</v>
      </c>
      <c r="P129" s="360">
        <v>9760</v>
      </c>
      <c r="Q129" s="360">
        <v>9760</v>
      </c>
      <c r="R129" s="360">
        <v>9760</v>
      </c>
      <c r="S129" s="360">
        <v>4871.07</v>
      </c>
      <c r="T129" s="360"/>
      <c r="U129" s="361"/>
      <c r="V129" s="350">
        <f t="shared" si="2"/>
        <v>109791.07</v>
      </c>
      <c r="X129" s="345"/>
    </row>
    <row r="130" spans="1:24" s="337" customFormat="1" ht="12.75">
      <c r="A130" s="435"/>
      <c r="B130" s="351" t="s">
        <v>651</v>
      </c>
      <c r="C130" s="437"/>
      <c r="D130" s="449"/>
      <c r="E130" s="452"/>
      <c r="F130" s="353">
        <v>0.00548</v>
      </c>
      <c r="G130" s="396">
        <v>1197.25</v>
      </c>
      <c r="H130" s="354">
        <v>728</v>
      </c>
      <c r="I130" s="354">
        <v>1023</v>
      </c>
      <c r="J130" s="354">
        <v>927</v>
      </c>
      <c r="K130" s="354">
        <v>826</v>
      </c>
      <c r="L130" s="354">
        <v>727</v>
      </c>
      <c r="M130" s="354">
        <v>628</v>
      </c>
      <c r="N130" s="354">
        <v>530</v>
      </c>
      <c r="O130" s="354">
        <v>430</v>
      </c>
      <c r="P130" s="354">
        <v>331</v>
      </c>
      <c r="Q130" s="354">
        <v>232</v>
      </c>
      <c r="R130" s="354">
        <v>133</v>
      </c>
      <c r="S130" s="354">
        <v>35</v>
      </c>
      <c r="T130" s="354"/>
      <c r="U130" s="362"/>
      <c r="V130" s="357">
        <f t="shared" si="2"/>
        <v>7747.25</v>
      </c>
      <c r="X130" s="345"/>
    </row>
    <row r="131" spans="1:24" s="337" customFormat="1" ht="12.75" customHeight="1">
      <c r="A131" s="434">
        <v>63</v>
      </c>
      <c r="B131" s="346" t="s">
        <v>494</v>
      </c>
      <c r="C131" s="436" t="s">
        <v>652</v>
      </c>
      <c r="D131" s="442">
        <v>103829</v>
      </c>
      <c r="E131" s="451" t="s">
        <v>653</v>
      </c>
      <c r="F131" s="363" t="s">
        <v>491</v>
      </c>
      <c r="G131" s="360"/>
      <c r="H131" s="360">
        <v>6924</v>
      </c>
      <c r="I131" s="360">
        <v>9232</v>
      </c>
      <c r="J131" s="360">
        <v>9232</v>
      </c>
      <c r="K131" s="360">
        <v>9232</v>
      </c>
      <c r="L131" s="360">
        <v>9232</v>
      </c>
      <c r="M131" s="360">
        <v>9232</v>
      </c>
      <c r="N131" s="360">
        <v>9232</v>
      </c>
      <c r="O131" s="360">
        <v>9232</v>
      </c>
      <c r="P131" s="360">
        <v>9232</v>
      </c>
      <c r="Q131" s="360">
        <v>9232</v>
      </c>
      <c r="R131" s="360">
        <v>9232</v>
      </c>
      <c r="S131" s="360">
        <v>4585</v>
      </c>
      <c r="T131" s="360"/>
      <c r="U131" s="361"/>
      <c r="V131" s="350">
        <f t="shared" si="2"/>
        <v>103829</v>
      </c>
      <c r="X131" s="345"/>
    </row>
    <row r="132" spans="1:24" s="337" customFormat="1" ht="12.75">
      <c r="A132" s="435"/>
      <c r="B132" s="351" t="s">
        <v>654</v>
      </c>
      <c r="C132" s="437"/>
      <c r="D132" s="443"/>
      <c r="E132" s="452"/>
      <c r="F132" s="353">
        <v>0.0092</v>
      </c>
      <c r="G132" s="396">
        <v>1117.53</v>
      </c>
      <c r="H132" s="354">
        <v>1044</v>
      </c>
      <c r="I132" s="354">
        <v>968</v>
      </c>
      <c r="J132" s="354">
        <v>877</v>
      </c>
      <c r="K132" s="354">
        <v>781</v>
      </c>
      <c r="L132" s="354">
        <v>687</v>
      </c>
      <c r="M132" s="354">
        <v>594</v>
      </c>
      <c r="N132" s="354">
        <v>501</v>
      </c>
      <c r="O132" s="354">
        <v>406</v>
      </c>
      <c r="P132" s="354">
        <v>313</v>
      </c>
      <c r="Q132" s="354">
        <v>219</v>
      </c>
      <c r="R132" s="354">
        <v>126</v>
      </c>
      <c r="S132" s="354">
        <v>33</v>
      </c>
      <c r="T132" s="354"/>
      <c r="U132" s="362"/>
      <c r="V132" s="357">
        <f t="shared" si="2"/>
        <v>7666.53</v>
      </c>
      <c r="X132" s="345"/>
    </row>
    <row r="133" spans="1:24" s="337" customFormat="1" ht="12.75" customHeight="1">
      <c r="A133" s="434">
        <v>64</v>
      </c>
      <c r="B133" s="346" t="s">
        <v>494</v>
      </c>
      <c r="C133" s="436" t="s">
        <v>571</v>
      </c>
      <c r="D133" s="442">
        <v>20419.26</v>
      </c>
      <c r="E133" s="451" t="s">
        <v>653</v>
      </c>
      <c r="F133" s="363" t="s">
        <v>491</v>
      </c>
      <c r="G133" s="360"/>
      <c r="H133" s="360">
        <v>1351</v>
      </c>
      <c r="I133" s="360">
        <v>1816</v>
      </c>
      <c r="J133" s="360">
        <v>1816</v>
      </c>
      <c r="K133" s="360">
        <v>1816</v>
      </c>
      <c r="L133" s="360">
        <v>1816</v>
      </c>
      <c r="M133" s="360">
        <v>1816</v>
      </c>
      <c r="N133" s="360">
        <v>1816</v>
      </c>
      <c r="O133" s="360">
        <v>1816</v>
      </c>
      <c r="P133" s="360">
        <v>1816</v>
      </c>
      <c r="Q133" s="360">
        <v>1816</v>
      </c>
      <c r="R133" s="360">
        <v>1816</v>
      </c>
      <c r="S133" s="360">
        <v>908</v>
      </c>
      <c r="T133" s="360"/>
      <c r="U133" s="361"/>
      <c r="V133" s="350">
        <f t="shared" si="2"/>
        <v>20419</v>
      </c>
      <c r="X133" s="345"/>
    </row>
    <row r="134" spans="1:24" s="337" customFormat="1" ht="12.75">
      <c r="A134" s="435"/>
      <c r="B134" s="351" t="s">
        <v>655</v>
      </c>
      <c r="C134" s="437"/>
      <c r="D134" s="443"/>
      <c r="E134" s="452"/>
      <c r="F134" s="353">
        <v>0.0092</v>
      </c>
      <c r="G134" s="396">
        <v>228.31</v>
      </c>
      <c r="H134" s="354">
        <v>205</v>
      </c>
      <c r="I134" s="354">
        <v>190</v>
      </c>
      <c r="J134" s="354">
        <v>173</v>
      </c>
      <c r="K134" s="354">
        <v>154</v>
      </c>
      <c r="L134" s="354">
        <v>135</v>
      </c>
      <c r="M134" s="354">
        <v>117</v>
      </c>
      <c r="N134" s="354">
        <v>99</v>
      </c>
      <c r="O134" s="354">
        <v>80</v>
      </c>
      <c r="P134" s="354">
        <v>62</v>
      </c>
      <c r="Q134" s="354">
        <v>43</v>
      </c>
      <c r="R134" s="354">
        <v>25</v>
      </c>
      <c r="S134" s="354">
        <v>6</v>
      </c>
      <c r="T134" s="354"/>
      <c r="U134" s="362"/>
      <c r="V134" s="357">
        <f t="shared" si="2"/>
        <v>1517.31</v>
      </c>
      <c r="X134" s="345"/>
    </row>
    <row r="135" spans="1:24" s="337" customFormat="1" ht="12.75" customHeight="1">
      <c r="A135" s="434">
        <v>65</v>
      </c>
      <c r="B135" s="346" t="s">
        <v>494</v>
      </c>
      <c r="C135" s="436" t="s">
        <v>644</v>
      </c>
      <c r="D135" s="442">
        <v>20325</v>
      </c>
      <c r="E135" s="451" t="s">
        <v>656</v>
      </c>
      <c r="F135" s="363" t="s">
        <v>491</v>
      </c>
      <c r="G135" s="360"/>
      <c r="H135" s="360"/>
      <c r="I135" s="360">
        <v>1808</v>
      </c>
      <c r="J135" s="360">
        <v>1808</v>
      </c>
      <c r="K135" s="360">
        <v>1808</v>
      </c>
      <c r="L135" s="360">
        <v>1808</v>
      </c>
      <c r="M135" s="360">
        <v>1808</v>
      </c>
      <c r="N135" s="360">
        <v>1808</v>
      </c>
      <c r="O135" s="360">
        <v>1808</v>
      </c>
      <c r="P135" s="360">
        <v>1808</v>
      </c>
      <c r="Q135" s="360">
        <v>1808</v>
      </c>
      <c r="R135" s="360">
        <v>1808</v>
      </c>
      <c r="S135" s="360">
        <v>1808</v>
      </c>
      <c r="T135" s="360">
        <v>437</v>
      </c>
      <c r="U135" s="361"/>
      <c r="V135" s="350">
        <f aca="true" t="shared" si="3" ref="V135:V166">SUM(G135:U135)</f>
        <v>20325</v>
      </c>
      <c r="X135" s="345"/>
    </row>
    <row r="136" spans="1:24" s="337" customFormat="1" ht="12.75">
      <c r="A136" s="435"/>
      <c r="B136" s="351" t="s">
        <v>657</v>
      </c>
      <c r="C136" s="437"/>
      <c r="D136" s="443"/>
      <c r="E136" s="452"/>
      <c r="F136" s="353">
        <v>0.0069</v>
      </c>
      <c r="G136" s="397">
        <v>251.89</v>
      </c>
      <c r="H136" s="354">
        <v>190</v>
      </c>
      <c r="I136" s="354">
        <v>202</v>
      </c>
      <c r="J136" s="354">
        <v>185</v>
      </c>
      <c r="K136" s="354">
        <v>167</v>
      </c>
      <c r="L136" s="354">
        <v>148</v>
      </c>
      <c r="M136" s="354">
        <v>130</v>
      </c>
      <c r="N136" s="354">
        <v>112</v>
      </c>
      <c r="O136" s="354">
        <v>93</v>
      </c>
      <c r="P136" s="354">
        <v>75</v>
      </c>
      <c r="Q136" s="354">
        <v>57</v>
      </c>
      <c r="R136" s="354">
        <v>38</v>
      </c>
      <c r="S136" s="354">
        <v>20</v>
      </c>
      <c r="T136" s="354">
        <v>3</v>
      </c>
      <c r="U136" s="362"/>
      <c r="V136" s="357">
        <f t="shared" si="3"/>
        <v>1671.8899999999999</v>
      </c>
      <c r="X136" s="345"/>
    </row>
    <row r="137" spans="1:24" s="337" customFormat="1" ht="12.75" customHeight="1">
      <c r="A137" s="434">
        <v>66</v>
      </c>
      <c r="B137" s="346" t="s">
        <v>494</v>
      </c>
      <c r="C137" s="436" t="s">
        <v>658</v>
      </c>
      <c r="D137" s="442">
        <v>6408642</v>
      </c>
      <c r="E137" s="451" t="s">
        <v>659</v>
      </c>
      <c r="F137" s="363" t="s">
        <v>491</v>
      </c>
      <c r="G137" s="360"/>
      <c r="H137" s="360"/>
      <c r="I137" s="360">
        <v>284830</v>
      </c>
      <c r="J137" s="360">
        <v>569660</v>
      </c>
      <c r="K137" s="360">
        <v>569660</v>
      </c>
      <c r="L137" s="360">
        <v>569660</v>
      </c>
      <c r="M137" s="360">
        <v>569660</v>
      </c>
      <c r="N137" s="360">
        <v>569660</v>
      </c>
      <c r="O137" s="360">
        <v>569660</v>
      </c>
      <c r="P137" s="360">
        <v>569660</v>
      </c>
      <c r="Q137" s="360">
        <v>569660</v>
      </c>
      <c r="R137" s="360">
        <v>569660</v>
      </c>
      <c r="S137" s="360">
        <v>569660</v>
      </c>
      <c r="T137" s="360">
        <v>427212</v>
      </c>
      <c r="U137" s="361"/>
      <c r="V137" s="350">
        <f t="shared" si="3"/>
        <v>6408642</v>
      </c>
      <c r="X137" s="345"/>
    </row>
    <row r="138" spans="1:24" s="337" customFormat="1" ht="12.75">
      <c r="A138" s="435"/>
      <c r="B138" s="351" t="s">
        <v>660</v>
      </c>
      <c r="C138" s="437"/>
      <c r="D138" s="443"/>
      <c r="E138" s="452"/>
      <c r="F138" s="353">
        <v>0.00868</v>
      </c>
      <c r="G138" s="396">
        <v>17553.73</v>
      </c>
      <c r="H138" s="354">
        <v>44419</v>
      </c>
      <c r="I138" s="354">
        <v>64937</v>
      </c>
      <c r="J138" s="354">
        <v>61369</v>
      </c>
      <c r="K138" s="354">
        <v>55423</v>
      </c>
      <c r="L138" s="354">
        <v>49647</v>
      </c>
      <c r="M138" s="354">
        <v>43871</v>
      </c>
      <c r="N138" s="354">
        <v>38202</v>
      </c>
      <c r="O138" s="354">
        <v>32320</v>
      </c>
      <c r="P138" s="354">
        <v>26544</v>
      </c>
      <c r="Q138" s="354">
        <v>20769</v>
      </c>
      <c r="R138" s="354">
        <v>15036</v>
      </c>
      <c r="S138" s="354">
        <v>9217</v>
      </c>
      <c r="T138" s="354">
        <v>3441</v>
      </c>
      <c r="U138" s="362"/>
      <c r="V138" s="357">
        <f t="shared" si="3"/>
        <v>482748.73</v>
      </c>
      <c r="X138" s="345"/>
    </row>
    <row r="139" spans="1:24" s="337" customFormat="1" ht="12.75" customHeight="1">
      <c r="A139" s="434">
        <v>67</v>
      </c>
      <c r="B139" s="346" t="s">
        <v>494</v>
      </c>
      <c r="C139" s="436" t="s">
        <v>661</v>
      </c>
      <c r="D139" s="442">
        <v>247003</v>
      </c>
      <c r="E139" s="451" t="s">
        <v>662</v>
      </c>
      <c r="F139" s="363" t="s">
        <v>491</v>
      </c>
      <c r="G139" s="360">
        <f>6163.13+97518.63</f>
        <v>103681.76000000001</v>
      </c>
      <c r="H139" s="360"/>
      <c r="I139" s="360"/>
      <c r="J139" s="360"/>
      <c r="K139" s="360"/>
      <c r="L139" s="360"/>
      <c r="M139" s="360"/>
      <c r="N139" s="360">
        <f>11818.37-0.13</f>
        <v>11818.240000000002</v>
      </c>
      <c r="O139" s="360">
        <v>22000</v>
      </c>
      <c r="P139" s="360">
        <v>22000</v>
      </c>
      <c r="Q139" s="360">
        <v>22000</v>
      </c>
      <c r="R139" s="360">
        <v>22000</v>
      </c>
      <c r="S139" s="360">
        <v>22000</v>
      </c>
      <c r="T139" s="360">
        <v>21503</v>
      </c>
      <c r="U139" s="361"/>
      <c r="V139" s="350">
        <f t="shared" si="3"/>
        <v>247003</v>
      </c>
      <c r="X139" s="345"/>
    </row>
    <row r="140" spans="1:24" s="337" customFormat="1" ht="12.75">
      <c r="A140" s="435"/>
      <c r="B140" s="351" t="s">
        <v>663</v>
      </c>
      <c r="C140" s="437"/>
      <c r="D140" s="443"/>
      <c r="E140" s="452"/>
      <c r="F140" s="353">
        <v>0.00889</v>
      </c>
      <c r="G140" s="396">
        <v>524.13</v>
      </c>
      <c r="H140" s="354">
        <v>1673</v>
      </c>
      <c r="I140" s="354">
        <v>1453</v>
      </c>
      <c r="J140" s="354">
        <v>1457</v>
      </c>
      <c r="K140" s="354">
        <v>1453</v>
      </c>
      <c r="L140" s="354">
        <v>1453</v>
      </c>
      <c r="M140" s="354">
        <v>1453</v>
      </c>
      <c r="N140" s="354">
        <v>1453</v>
      </c>
      <c r="O140" s="354">
        <v>1299</v>
      </c>
      <c r="P140" s="354">
        <v>1076</v>
      </c>
      <c r="Q140" s="354">
        <v>853</v>
      </c>
      <c r="R140" s="354">
        <v>632</v>
      </c>
      <c r="S140" s="354">
        <v>407</v>
      </c>
      <c r="T140" s="354">
        <v>184</v>
      </c>
      <c r="U140" s="362">
        <v>11</v>
      </c>
      <c r="V140" s="357">
        <f t="shared" si="3"/>
        <v>15381.130000000001</v>
      </c>
      <c r="X140" s="345"/>
    </row>
    <row r="141" spans="1:24" s="337" customFormat="1" ht="12.75" customHeight="1">
      <c r="A141" s="434">
        <v>68</v>
      </c>
      <c r="B141" s="346" t="s">
        <v>494</v>
      </c>
      <c r="C141" s="436" t="s">
        <v>664</v>
      </c>
      <c r="D141" s="442">
        <v>196000</v>
      </c>
      <c r="E141" s="451" t="s">
        <v>665</v>
      </c>
      <c r="F141" s="363" t="s">
        <v>491</v>
      </c>
      <c r="G141" s="398">
        <v>39991.5</v>
      </c>
      <c r="H141" s="364"/>
      <c r="I141" s="360"/>
      <c r="J141" s="360"/>
      <c r="K141" s="360">
        <f>3565.61+2.89</f>
        <v>3568.5</v>
      </c>
      <c r="L141" s="360">
        <v>17424</v>
      </c>
      <c r="M141" s="360">
        <v>17424</v>
      </c>
      <c r="N141" s="360">
        <v>17424</v>
      </c>
      <c r="O141" s="360">
        <v>17424</v>
      </c>
      <c r="P141" s="360">
        <v>17424</v>
      </c>
      <c r="Q141" s="360">
        <v>17424</v>
      </c>
      <c r="R141" s="360">
        <v>17424</v>
      </c>
      <c r="S141" s="360">
        <v>17424</v>
      </c>
      <c r="T141" s="360">
        <v>13048</v>
      </c>
      <c r="U141" s="361"/>
      <c r="V141" s="350">
        <f t="shared" si="3"/>
        <v>196000</v>
      </c>
      <c r="X141" s="345"/>
    </row>
    <row r="142" spans="1:24" s="337" customFormat="1" ht="12.75">
      <c r="A142" s="435"/>
      <c r="B142" s="351" t="s">
        <v>666</v>
      </c>
      <c r="C142" s="437"/>
      <c r="D142" s="443"/>
      <c r="E142" s="452"/>
      <c r="F142" s="353">
        <v>0.00548</v>
      </c>
      <c r="G142" s="396">
        <v>1684.24</v>
      </c>
      <c r="H142" s="354">
        <v>1047</v>
      </c>
      <c r="I142" s="354">
        <v>1582</v>
      </c>
      <c r="J142" s="354">
        <v>1586</v>
      </c>
      <c r="K142" s="354">
        <v>1582</v>
      </c>
      <c r="L142" s="354">
        <v>1517</v>
      </c>
      <c r="M142" s="354">
        <v>1342</v>
      </c>
      <c r="N142" s="354">
        <v>1168</v>
      </c>
      <c r="O142" s="354">
        <v>988</v>
      </c>
      <c r="P142" s="354">
        <v>812</v>
      </c>
      <c r="Q142" s="354">
        <v>635</v>
      </c>
      <c r="R142" s="354">
        <v>460</v>
      </c>
      <c r="S142" s="354">
        <v>282</v>
      </c>
      <c r="T142" s="354">
        <v>105</v>
      </c>
      <c r="U142" s="362"/>
      <c r="V142" s="357">
        <f t="shared" si="3"/>
        <v>14790.24</v>
      </c>
      <c r="X142" s="345"/>
    </row>
    <row r="143" spans="1:24" s="337" customFormat="1" ht="12.75" customHeight="1">
      <c r="A143" s="434">
        <v>69</v>
      </c>
      <c r="B143" s="346" t="s">
        <v>494</v>
      </c>
      <c r="C143" s="436" t="s">
        <v>667</v>
      </c>
      <c r="D143" s="442">
        <v>106545</v>
      </c>
      <c r="E143" s="451" t="s">
        <v>668</v>
      </c>
      <c r="F143" s="363" t="s">
        <v>491</v>
      </c>
      <c r="G143" s="360">
        <v>3253.47</v>
      </c>
      <c r="H143" s="360"/>
      <c r="I143" s="360">
        <v>1482.53</v>
      </c>
      <c r="J143" s="360">
        <v>9472</v>
      </c>
      <c r="K143" s="360">
        <v>9472</v>
      </c>
      <c r="L143" s="360">
        <v>9472</v>
      </c>
      <c r="M143" s="360">
        <v>9472</v>
      </c>
      <c r="N143" s="360">
        <v>9472</v>
      </c>
      <c r="O143" s="360">
        <v>9472</v>
      </c>
      <c r="P143" s="360">
        <v>9472</v>
      </c>
      <c r="Q143" s="360">
        <v>9472</v>
      </c>
      <c r="R143" s="360">
        <v>9472</v>
      </c>
      <c r="S143" s="360">
        <v>9472</v>
      </c>
      <c r="T143" s="360">
        <v>7089</v>
      </c>
      <c r="U143" s="361"/>
      <c r="V143" s="350">
        <f t="shared" si="3"/>
        <v>106545</v>
      </c>
      <c r="X143" s="345"/>
    </row>
    <row r="144" spans="1:24" s="337" customFormat="1" ht="12.75">
      <c r="A144" s="435"/>
      <c r="B144" s="351" t="s">
        <v>669</v>
      </c>
      <c r="C144" s="437"/>
      <c r="D144" s="443"/>
      <c r="E144" s="452"/>
      <c r="F144" s="353">
        <v>0.0055</v>
      </c>
      <c r="G144" s="354">
        <v>55</v>
      </c>
      <c r="H144" s="354">
        <v>695</v>
      </c>
      <c r="I144" s="354">
        <v>1047</v>
      </c>
      <c r="J144" s="354">
        <v>1018</v>
      </c>
      <c r="K144" s="354">
        <v>921</v>
      </c>
      <c r="L144" s="354">
        <v>825</v>
      </c>
      <c r="M144" s="354">
        <v>729</v>
      </c>
      <c r="N144" s="354">
        <v>635</v>
      </c>
      <c r="O144" s="354">
        <v>537</v>
      </c>
      <c r="P144" s="354">
        <v>441</v>
      </c>
      <c r="Q144" s="354">
        <v>345</v>
      </c>
      <c r="R144" s="354">
        <v>250</v>
      </c>
      <c r="S144" s="354">
        <v>153</v>
      </c>
      <c r="T144" s="354">
        <v>57</v>
      </c>
      <c r="U144" s="362"/>
      <c r="V144" s="357">
        <f t="shared" si="3"/>
        <v>7708</v>
      </c>
      <c r="X144" s="345"/>
    </row>
    <row r="145" spans="1:24" s="337" customFormat="1" ht="12.75" customHeight="1">
      <c r="A145" s="434">
        <v>70</v>
      </c>
      <c r="B145" s="346" t="s">
        <v>494</v>
      </c>
      <c r="C145" s="436" t="s">
        <v>670</v>
      </c>
      <c r="D145" s="442">
        <v>40180</v>
      </c>
      <c r="E145" s="451" t="s">
        <v>671</v>
      </c>
      <c r="F145" s="363" t="s">
        <v>491</v>
      </c>
      <c r="G145" s="360"/>
      <c r="H145" s="360"/>
      <c r="I145" s="360">
        <v>1786</v>
      </c>
      <c r="J145" s="360">
        <v>3572</v>
      </c>
      <c r="K145" s="360">
        <v>3572</v>
      </c>
      <c r="L145" s="360">
        <v>3572</v>
      </c>
      <c r="M145" s="360">
        <v>3572</v>
      </c>
      <c r="N145" s="360">
        <v>3572</v>
      </c>
      <c r="O145" s="360">
        <v>3572</v>
      </c>
      <c r="P145" s="360">
        <v>3572</v>
      </c>
      <c r="Q145" s="360">
        <v>3572</v>
      </c>
      <c r="R145" s="360">
        <v>3572</v>
      </c>
      <c r="S145" s="360">
        <v>3572</v>
      </c>
      <c r="T145" s="360">
        <v>2674</v>
      </c>
      <c r="U145" s="361"/>
      <c r="V145" s="350">
        <f t="shared" si="3"/>
        <v>40180</v>
      </c>
      <c r="X145" s="345"/>
    </row>
    <row r="146" spans="1:24" s="337" customFormat="1" ht="12.75">
      <c r="A146" s="435"/>
      <c r="B146" s="351" t="s">
        <v>672</v>
      </c>
      <c r="C146" s="437"/>
      <c r="D146" s="443"/>
      <c r="E146" s="452"/>
      <c r="F146" s="353">
        <v>0.00548</v>
      </c>
      <c r="G146" s="396">
        <v>109.74</v>
      </c>
      <c r="H146" s="354">
        <v>270</v>
      </c>
      <c r="I146" s="354">
        <v>406</v>
      </c>
      <c r="J146" s="354">
        <v>385</v>
      </c>
      <c r="K146" s="354">
        <v>347</v>
      </c>
      <c r="L146" s="354">
        <v>311</v>
      </c>
      <c r="M146" s="354">
        <v>275</v>
      </c>
      <c r="N146" s="354">
        <v>239</v>
      </c>
      <c r="O146" s="354">
        <v>203</v>
      </c>
      <c r="P146" s="354">
        <v>166</v>
      </c>
      <c r="Q146" s="354">
        <v>130</v>
      </c>
      <c r="R146" s="354">
        <v>94</v>
      </c>
      <c r="S146" s="354">
        <v>58</v>
      </c>
      <c r="T146" s="354">
        <v>22</v>
      </c>
      <c r="U146" s="362"/>
      <c r="V146" s="357">
        <f t="shared" si="3"/>
        <v>3015.74</v>
      </c>
      <c r="X146" s="345"/>
    </row>
    <row r="147" spans="1:24" s="337" customFormat="1" ht="12.75" customHeight="1">
      <c r="A147" s="434">
        <v>71</v>
      </c>
      <c r="B147" s="346" t="s">
        <v>494</v>
      </c>
      <c r="C147" s="436" t="s">
        <v>673</v>
      </c>
      <c r="D147" s="442">
        <v>40000</v>
      </c>
      <c r="E147" s="451" t="s">
        <v>674</v>
      </c>
      <c r="F147" s="363" t="s">
        <v>491</v>
      </c>
      <c r="G147" s="360">
        <v>19659.86</v>
      </c>
      <c r="H147" s="360"/>
      <c r="I147" s="360"/>
      <c r="J147" s="360"/>
      <c r="K147" s="360"/>
      <c r="L147" s="360"/>
      <c r="M147" s="360"/>
      <c r="N147" s="360">
        <v>764.14</v>
      </c>
      <c r="O147" s="360">
        <v>3552</v>
      </c>
      <c r="P147" s="360">
        <v>3552</v>
      </c>
      <c r="Q147" s="360">
        <v>3552</v>
      </c>
      <c r="R147" s="360">
        <v>3552</v>
      </c>
      <c r="S147" s="360">
        <v>3552</v>
      </c>
      <c r="T147" s="360">
        <v>1816</v>
      </c>
      <c r="U147" s="361"/>
      <c r="V147" s="350">
        <f t="shared" si="3"/>
        <v>40000</v>
      </c>
      <c r="X147" s="345"/>
    </row>
    <row r="148" spans="1:24" s="337" customFormat="1" ht="12.75">
      <c r="A148" s="435"/>
      <c r="B148" s="351" t="s">
        <v>675</v>
      </c>
      <c r="C148" s="437"/>
      <c r="D148" s="443"/>
      <c r="E148" s="452"/>
      <c r="F148" s="353">
        <v>0.0055</v>
      </c>
      <c r="G148" s="396">
        <v>298.75</v>
      </c>
      <c r="H148" s="354">
        <v>137</v>
      </c>
      <c r="I148" s="354">
        <v>206</v>
      </c>
      <c r="J148" s="354">
        <v>207</v>
      </c>
      <c r="K148" s="354">
        <v>206</v>
      </c>
      <c r="L148" s="354">
        <v>206</v>
      </c>
      <c r="M148" s="354">
        <v>206</v>
      </c>
      <c r="N148" s="354">
        <v>207</v>
      </c>
      <c r="O148" s="354">
        <v>193</v>
      </c>
      <c r="P148" s="354">
        <v>157</v>
      </c>
      <c r="Q148" s="354">
        <v>121</v>
      </c>
      <c r="R148" s="354">
        <v>85</v>
      </c>
      <c r="S148" s="354">
        <v>49</v>
      </c>
      <c r="T148" s="354">
        <v>13</v>
      </c>
      <c r="U148" s="362"/>
      <c r="V148" s="357">
        <f t="shared" si="3"/>
        <v>2291.75</v>
      </c>
      <c r="X148" s="345"/>
    </row>
    <row r="149" spans="1:24" s="337" customFormat="1" ht="12.75" customHeight="1">
      <c r="A149" s="434">
        <v>72</v>
      </c>
      <c r="B149" s="346" t="s">
        <v>494</v>
      </c>
      <c r="C149" s="436" t="s">
        <v>676</v>
      </c>
      <c r="D149" s="442">
        <v>20000</v>
      </c>
      <c r="E149" s="451" t="s">
        <v>677</v>
      </c>
      <c r="F149" s="363" t="s">
        <v>491</v>
      </c>
      <c r="G149" s="360"/>
      <c r="H149" s="360"/>
      <c r="I149" s="360">
        <v>1335</v>
      </c>
      <c r="J149" s="360">
        <v>1780</v>
      </c>
      <c r="K149" s="360">
        <v>1780</v>
      </c>
      <c r="L149" s="360">
        <v>1780</v>
      </c>
      <c r="M149" s="360">
        <v>1780</v>
      </c>
      <c r="N149" s="360">
        <v>1780</v>
      </c>
      <c r="O149" s="360">
        <v>1780</v>
      </c>
      <c r="P149" s="360">
        <v>1780</v>
      </c>
      <c r="Q149" s="360">
        <v>1780</v>
      </c>
      <c r="R149" s="360">
        <v>1780</v>
      </c>
      <c r="S149" s="360">
        <v>1780</v>
      </c>
      <c r="T149" s="360">
        <v>865</v>
      </c>
      <c r="U149" s="361"/>
      <c r="V149" s="350">
        <f t="shared" si="3"/>
        <v>20000</v>
      </c>
      <c r="X149" s="345"/>
    </row>
    <row r="150" spans="1:24" s="337" customFormat="1" ht="12.75">
      <c r="A150" s="435"/>
      <c r="B150" s="351" t="s">
        <v>678</v>
      </c>
      <c r="C150" s="437"/>
      <c r="D150" s="443"/>
      <c r="E150" s="452"/>
      <c r="F150" s="353">
        <v>0.0055</v>
      </c>
      <c r="G150" s="396">
        <v>52.11</v>
      </c>
      <c r="H150" s="354">
        <v>157</v>
      </c>
      <c r="I150" s="354">
        <v>201</v>
      </c>
      <c r="J150" s="354">
        <v>187</v>
      </c>
      <c r="K150" s="354">
        <v>168</v>
      </c>
      <c r="L150" s="354">
        <v>150</v>
      </c>
      <c r="M150" s="354">
        <v>132</v>
      </c>
      <c r="N150" s="354">
        <v>115</v>
      </c>
      <c r="O150" s="354">
        <v>96</v>
      </c>
      <c r="P150" s="354">
        <v>78</v>
      </c>
      <c r="Q150" s="354">
        <v>60</v>
      </c>
      <c r="R150" s="354">
        <v>42</v>
      </c>
      <c r="S150" s="354">
        <v>24</v>
      </c>
      <c r="T150" s="354">
        <v>6</v>
      </c>
      <c r="U150" s="362"/>
      <c r="V150" s="357">
        <f t="shared" si="3"/>
        <v>1468.1100000000001</v>
      </c>
      <c r="X150" s="345"/>
    </row>
    <row r="151" spans="1:24" s="337" customFormat="1" ht="12.75" customHeight="1">
      <c r="A151" s="434">
        <v>73</v>
      </c>
      <c r="B151" s="346" t="s">
        <v>494</v>
      </c>
      <c r="C151" s="436" t="s">
        <v>679</v>
      </c>
      <c r="D151" s="442">
        <v>2910641</v>
      </c>
      <c r="E151" s="451" t="s">
        <v>680</v>
      </c>
      <c r="F151" s="363" t="s">
        <v>491</v>
      </c>
      <c r="G151" s="360">
        <f>228255.59+436957.48</f>
        <v>665213.07</v>
      </c>
      <c r="H151" s="360"/>
      <c r="I151" s="360"/>
      <c r="J151" s="360"/>
      <c r="K151" s="360"/>
      <c r="L151" s="360">
        <v>240320.93</v>
      </c>
      <c r="M151" s="360">
        <v>258724</v>
      </c>
      <c r="N151" s="360">
        <v>258724</v>
      </c>
      <c r="O151" s="360">
        <v>258724</v>
      </c>
      <c r="P151" s="360">
        <v>258724</v>
      </c>
      <c r="Q151" s="360">
        <v>258724</v>
      </c>
      <c r="R151" s="360">
        <v>258724</v>
      </c>
      <c r="S151" s="360">
        <v>258724</v>
      </c>
      <c r="T151" s="360">
        <v>194039</v>
      </c>
      <c r="U151" s="361"/>
      <c r="V151" s="350">
        <f t="shared" si="3"/>
        <v>2910641</v>
      </c>
      <c r="X151" s="345"/>
    </row>
    <row r="152" spans="1:24" s="337" customFormat="1" ht="12.75">
      <c r="A152" s="435"/>
      <c r="B152" s="351" t="s">
        <v>681</v>
      </c>
      <c r="C152" s="437"/>
      <c r="D152" s="443"/>
      <c r="E152" s="452"/>
      <c r="F152" s="353">
        <v>0.00868</v>
      </c>
      <c r="G152" s="396">
        <v>1506.99</v>
      </c>
      <c r="H152" s="354">
        <v>16131</v>
      </c>
      <c r="I152" s="354">
        <v>22766</v>
      </c>
      <c r="J152" s="354">
        <v>22316</v>
      </c>
      <c r="K152" s="354">
        <v>22766</v>
      </c>
      <c r="L152" s="354">
        <v>22316</v>
      </c>
      <c r="M152" s="354">
        <v>19925</v>
      </c>
      <c r="N152" s="354">
        <v>17351</v>
      </c>
      <c r="O152" s="354">
        <v>14679</v>
      </c>
      <c r="P152" s="354">
        <v>12056</v>
      </c>
      <c r="Q152" s="354">
        <v>9433</v>
      </c>
      <c r="R152" s="354">
        <v>6829</v>
      </c>
      <c r="S152" s="354">
        <v>4186</v>
      </c>
      <c r="T152" s="354">
        <v>1563</v>
      </c>
      <c r="U152" s="362"/>
      <c r="V152" s="357">
        <f t="shared" si="3"/>
        <v>193823.99</v>
      </c>
      <c r="X152" s="345"/>
    </row>
    <row r="153" spans="1:24" s="337" customFormat="1" ht="12.75" customHeight="1">
      <c r="A153" s="434">
        <v>74</v>
      </c>
      <c r="B153" s="346" t="s">
        <v>494</v>
      </c>
      <c r="C153" s="436" t="s">
        <v>682</v>
      </c>
      <c r="D153" s="442">
        <v>81400</v>
      </c>
      <c r="E153" s="451" t="s">
        <v>683</v>
      </c>
      <c r="F153" s="363" t="s">
        <v>491</v>
      </c>
      <c r="G153" s="360"/>
      <c r="H153" s="360">
        <v>4144</v>
      </c>
      <c r="I153" s="360">
        <v>4176</v>
      </c>
      <c r="J153" s="360">
        <v>4176</v>
      </c>
      <c r="K153" s="360">
        <v>4176</v>
      </c>
      <c r="L153" s="360">
        <v>4176</v>
      </c>
      <c r="M153" s="360">
        <v>4176</v>
      </c>
      <c r="N153" s="360">
        <v>4176</v>
      </c>
      <c r="O153" s="360">
        <v>4176</v>
      </c>
      <c r="P153" s="360">
        <v>4176</v>
      </c>
      <c r="Q153" s="360">
        <v>4176</v>
      </c>
      <c r="R153" s="360">
        <v>4176</v>
      </c>
      <c r="S153" s="360">
        <v>4176</v>
      </c>
      <c r="T153" s="360">
        <v>4176</v>
      </c>
      <c r="U153" s="361">
        <v>27144</v>
      </c>
      <c r="V153" s="350">
        <f t="shared" si="3"/>
        <v>81400</v>
      </c>
      <c r="X153" s="345"/>
    </row>
    <row r="154" spans="1:24" s="337" customFormat="1" ht="12.75">
      <c r="A154" s="435"/>
      <c r="B154" s="351" t="s">
        <v>684</v>
      </c>
      <c r="C154" s="437"/>
      <c r="D154" s="443"/>
      <c r="E154" s="452"/>
      <c r="F154" s="353">
        <v>0.0055</v>
      </c>
      <c r="G154" s="396">
        <v>174.11</v>
      </c>
      <c r="H154" s="354">
        <v>632</v>
      </c>
      <c r="I154" s="354">
        <v>777</v>
      </c>
      <c r="J154" s="354">
        <v>736</v>
      </c>
      <c r="K154" s="354">
        <v>692</v>
      </c>
      <c r="L154" s="354">
        <v>650</v>
      </c>
      <c r="M154" s="354">
        <v>607</v>
      </c>
      <c r="N154" s="354">
        <v>567</v>
      </c>
      <c r="O154" s="354">
        <v>523</v>
      </c>
      <c r="P154" s="354">
        <v>480</v>
      </c>
      <c r="Q154" s="354">
        <v>438</v>
      </c>
      <c r="R154" s="354">
        <v>397</v>
      </c>
      <c r="S154" s="354">
        <v>353</v>
      </c>
      <c r="T154" s="354">
        <v>311</v>
      </c>
      <c r="U154" s="362">
        <f>269+227+184+142+99+57+15</f>
        <v>993</v>
      </c>
      <c r="V154" s="357">
        <f t="shared" si="3"/>
        <v>8330.11</v>
      </c>
      <c r="X154" s="345"/>
    </row>
    <row r="155" spans="1:24" s="337" customFormat="1" ht="12.75" customHeight="1">
      <c r="A155" s="434">
        <v>75</v>
      </c>
      <c r="B155" s="346" t="s">
        <v>494</v>
      </c>
      <c r="C155" s="436" t="s">
        <v>685</v>
      </c>
      <c r="D155" s="442">
        <v>142177</v>
      </c>
      <c r="E155" s="451" t="s">
        <v>686</v>
      </c>
      <c r="F155" s="363" t="s">
        <v>491</v>
      </c>
      <c r="G155" s="360">
        <v>39777.59</v>
      </c>
      <c r="H155" s="360"/>
      <c r="I155" s="360"/>
      <c r="J155" s="360"/>
      <c r="K155" s="360"/>
      <c r="L155" s="360"/>
      <c r="M155" s="360"/>
      <c r="N155" s="360">
        <v>246.41</v>
      </c>
      <c r="O155" s="360">
        <v>8012</v>
      </c>
      <c r="P155" s="360">
        <v>8012</v>
      </c>
      <c r="Q155" s="360">
        <v>8012</v>
      </c>
      <c r="R155" s="360">
        <v>8012</v>
      </c>
      <c r="S155" s="360">
        <v>8012</v>
      </c>
      <c r="T155" s="360">
        <v>8012</v>
      </c>
      <c r="U155" s="361">
        <v>54081</v>
      </c>
      <c r="V155" s="350">
        <f t="shared" si="3"/>
        <v>142177</v>
      </c>
      <c r="X155" s="345"/>
    </row>
    <row r="156" spans="1:24" s="337" customFormat="1" ht="12.75">
      <c r="A156" s="435"/>
      <c r="B156" s="351" t="s">
        <v>687</v>
      </c>
      <c r="C156" s="437"/>
      <c r="D156" s="443"/>
      <c r="E156" s="452"/>
      <c r="F156" s="353">
        <v>0.0055</v>
      </c>
      <c r="G156" s="396">
        <v>74.35</v>
      </c>
      <c r="H156" s="354">
        <v>738</v>
      </c>
      <c r="I156" s="354">
        <v>1038</v>
      </c>
      <c r="J156" s="354">
        <v>1041</v>
      </c>
      <c r="K156" s="354">
        <v>1038</v>
      </c>
      <c r="L156" s="354">
        <v>1038</v>
      </c>
      <c r="M156" s="354">
        <v>1038</v>
      </c>
      <c r="N156" s="354">
        <v>1041</v>
      </c>
      <c r="O156" s="354">
        <v>1019</v>
      </c>
      <c r="P156" s="354">
        <v>942</v>
      </c>
      <c r="Q156" s="354">
        <v>861</v>
      </c>
      <c r="R156" s="354">
        <v>782</v>
      </c>
      <c r="S156" s="354">
        <v>698</v>
      </c>
      <c r="T156" s="354">
        <v>617</v>
      </c>
      <c r="U156" s="362">
        <f>536+456+373+292+211+130+48</f>
        <v>2046</v>
      </c>
      <c r="V156" s="357">
        <f t="shared" si="3"/>
        <v>14011.35</v>
      </c>
      <c r="X156" s="345"/>
    </row>
    <row r="157" spans="1:24" s="337" customFormat="1" ht="12.75" customHeight="1">
      <c r="A157" s="434">
        <v>76</v>
      </c>
      <c r="B157" s="346" t="s">
        <v>494</v>
      </c>
      <c r="C157" s="436" t="s">
        <v>688</v>
      </c>
      <c r="D157" s="442">
        <v>588062</v>
      </c>
      <c r="E157" s="451" t="s">
        <v>689</v>
      </c>
      <c r="F157" s="363" t="s">
        <v>491</v>
      </c>
      <c r="G157" s="360"/>
      <c r="H157" s="360"/>
      <c r="I157" s="360"/>
      <c r="J157" s="360">
        <v>17046</v>
      </c>
      <c r="K157" s="360">
        <v>34092</v>
      </c>
      <c r="L157" s="360">
        <v>34092</v>
      </c>
      <c r="M157" s="360">
        <v>34092</v>
      </c>
      <c r="N157" s="360">
        <v>34092</v>
      </c>
      <c r="O157" s="360">
        <v>34092</v>
      </c>
      <c r="P157" s="360">
        <v>34092</v>
      </c>
      <c r="Q157" s="360">
        <v>34092</v>
      </c>
      <c r="R157" s="360">
        <v>34092</v>
      </c>
      <c r="S157" s="360">
        <v>34092</v>
      </c>
      <c r="T157" s="360">
        <v>34092</v>
      </c>
      <c r="U157" s="361">
        <v>230096</v>
      </c>
      <c r="V157" s="350">
        <f t="shared" si="3"/>
        <v>588062</v>
      </c>
      <c r="X157" s="345"/>
    </row>
    <row r="158" spans="1:24" s="337" customFormat="1" ht="12.75">
      <c r="A158" s="435"/>
      <c r="B158" s="351" t="s">
        <v>690</v>
      </c>
      <c r="C158" s="437"/>
      <c r="D158" s="443"/>
      <c r="E158" s="452"/>
      <c r="F158" s="353">
        <v>0.00548</v>
      </c>
      <c r="G158" s="396">
        <v>111.77</v>
      </c>
      <c r="H158" s="354">
        <v>3956</v>
      </c>
      <c r="I158" s="354">
        <v>5962</v>
      </c>
      <c r="J158" s="354">
        <v>5976</v>
      </c>
      <c r="K158" s="354">
        <v>5736</v>
      </c>
      <c r="L158" s="354">
        <v>5391</v>
      </c>
      <c r="M158" s="354">
        <v>5045</v>
      </c>
      <c r="N158" s="354">
        <v>4712</v>
      </c>
      <c r="O158" s="354">
        <v>4354</v>
      </c>
      <c r="P158" s="354">
        <v>4008</v>
      </c>
      <c r="Q158" s="354">
        <v>3662</v>
      </c>
      <c r="R158" s="354">
        <v>3326</v>
      </c>
      <c r="S158" s="354">
        <v>2971</v>
      </c>
      <c r="T158" s="354">
        <v>2625</v>
      </c>
      <c r="U158" s="362">
        <v>8706</v>
      </c>
      <c r="V158" s="357">
        <f t="shared" si="3"/>
        <v>66541.77</v>
      </c>
      <c r="X158" s="345"/>
    </row>
    <row r="159" spans="1:24" s="337" customFormat="1" ht="12.75" customHeight="1">
      <c r="A159" s="434">
        <v>77</v>
      </c>
      <c r="B159" s="346" t="s">
        <v>494</v>
      </c>
      <c r="C159" s="436" t="s">
        <v>691</v>
      </c>
      <c r="D159" s="442">
        <v>264063</v>
      </c>
      <c r="E159" s="451" t="s">
        <v>692</v>
      </c>
      <c r="F159" s="363" t="s">
        <v>491</v>
      </c>
      <c r="G159" s="360">
        <v>78463.66</v>
      </c>
      <c r="H159" s="360"/>
      <c r="I159" s="360"/>
      <c r="J159" s="360"/>
      <c r="K159" s="360"/>
      <c r="L159" s="360"/>
      <c r="M159" s="360"/>
      <c r="N159" s="360"/>
      <c r="O159" s="360">
        <v>5730.34</v>
      </c>
      <c r="P159" s="360">
        <v>15308</v>
      </c>
      <c r="Q159" s="360">
        <v>15308</v>
      </c>
      <c r="R159" s="360">
        <v>15308</v>
      </c>
      <c r="S159" s="360">
        <v>15308</v>
      </c>
      <c r="T159" s="360">
        <v>15308</v>
      </c>
      <c r="U159" s="361">
        <v>103329</v>
      </c>
      <c r="V159" s="350">
        <f t="shared" si="3"/>
        <v>264063</v>
      </c>
      <c r="X159" s="345"/>
    </row>
    <row r="160" spans="1:24" s="337" customFormat="1" ht="12.75">
      <c r="A160" s="435"/>
      <c r="B160" s="351" t="s">
        <v>693</v>
      </c>
      <c r="C160" s="437"/>
      <c r="D160" s="443"/>
      <c r="E160" s="452"/>
      <c r="F160" s="353">
        <v>0.00548</v>
      </c>
      <c r="G160" s="396">
        <v>132.64</v>
      </c>
      <c r="H160" s="354">
        <v>1342</v>
      </c>
      <c r="I160" s="354">
        <v>1882</v>
      </c>
      <c r="J160" s="354">
        <v>1887</v>
      </c>
      <c r="K160" s="354">
        <v>1882</v>
      </c>
      <c r="L160" s="354">
        <v>1882</v>
      </c>
      <c r="M160" s="354">
        <v>1882</v>
      </c>
      <c r="N160" s="354">
        <v>1887</v>
      </c>
      <c r="O160" s="354">
        <v>1881</v>
      </c>
      <c r="P160" s="354">
        <v>1800</v>
      </c>
      <c r="Q160" s="354">
        <v>1645</v>
      </c>
      <c r="R160" s="354">
        <v>1493</v>
      </c>
      <c r="S160" s="354">
        <v>1334</v>
      </c>
      <c r="T160" s="354">
        <v>1179</v>
      </c>
      <c r="U160" s="362">
        <f>1024+871+713+558+403+248+92</f>
        <v>3909</v>
      </c>
      <c r="V160" s="357">
        <f t="shared" si="3"/>
        <v>26017.64</v>
      </c>
      <c r="X160" s="345"/>
    </row>
    <row r="161" spans="1:24" s="337" customFormat="1" ht="12.75" customHeight="1">
      <c r="A161" s="434">
        <v>78</v>
      </c>
      <c r="B161" s="346" t="s">
        <v>494</v>
      </c>
      <c r="C161" s="436" t="s">
        <v>694</v>
      </c>
      <c r="D161" s="442">
        <v>200000</v>
      </c>
      <c r="E161" s="451" t="s">
        <v>695</v>
      </c>
      <c r="F161" s="363" t="s">
        <v>491</v>
      </c>
      <c r="G161" s="360"/>
      <c r="H161" s="360"/>
      <c r="I161" s="360"/>
      <c r="J161" s="360">
        <v>5767</v>
      </c>
      <c r="K161" s="360">
        <v>11596</v>
      </c>
      <c r="L161" s="360">
        <v>11596</v>
      </c>
      <c r="M161" s="360">
        <v>11596</v>
      </c>
      <c r="N161" s="360">
        <v>11596</v>
      </c>
      <c r="O161" s="360">
        <v>11596</v>
      </c>
      <c r="P161" s="360">
        <v>11596</v>
      </c>
      <c r="Q161" s="360">
        <v>11596</v>
      </c>
      <c r="R161" s="360">
        <v>11596</v>
      </c>
      <c r="S161" s="360">
        <v>11596</v>
      </c>
      <c r="T161" s="360">
        <v>11596</v>
      </c>
      <c r="U161" s="361">
        <v>78273</v>
      </c>
      <c r="V161" s="350">
        <f t="shared" si="3"/>
        <v>200000</v>
      </c>
      <c r="X161" s="345"/>
    </row>
    <row r="162" spans="1:24" s="337" customFormat="1" ht="12.75">
      <c r="A162" s="435"/>
      <c r="B162" s="351" t="s">
        <v>696</v>
      </c>
      <c r="C162" s="437"/>
      <c r="D162" s="443"/>
      <c r="E162" s="452"/>
      <c r="F162" s="353">
        <v>0.00548</v>
      </c>
      <c r="G162" s="396">
        <v>74.31</v>
      </c>
      <c r="H162" s="354">
        <v>1342</v>
      </c>
      <c r="I162" s="354">
        <v>2028</v>
      </c>
      <c r="J162" s="354">
        <v>2030</v>
      </c>
      <c r="K162" s="354">
        <v>1951</v>
      </c>
      <c r="L162" s="354">
        <v>1834</v>
      </c>
      <c r="M162" s="354">
        <v>1716</v>
      </c>
      <c r="N162" s="354">
        <v>1603</v>
      </c>
      <c r="O162" s="354">
        <v>1481</v>
      </c>
      <c r="P162" s="354">
        <v>1363</v>
      </c>
      <c r="Q162" s="354">
        <v>1246</v>
      </c>
      <c r="R162" s="354">
        <v>1131</v>
      </c>
      <c r="S162" s="354">
        <v>1011</v>
      </c>
      <c r="T162" s="354">
        <v>893</v>
      </c>
      <c r="U162" s="362">
        <f>775+660+540+423+305+188+70</f>
        <v>2961</v>
      </c>
      <c r="V162" s="357">
        <f t="shared" si="3"/>
        <v>22664.309999999998</v>
      </c>
      <c r="X162" s="345"/>
    </row>
    <row r="163" spans="1:24" s="337" customFormat="1" ht="12.75" customHeight="1">
      <c r="A163" s="365"/>
      <c r="B163" s="346" t="s">
        <v>494</v>
      </c>
      <c r="C163" s="453" t="s">
        <v>728</v>
      </c>
      <c r="D163" s="455">
        <v>1591519</v>
      </c>
      <c r="E163" s="451"/>
      <c r="F163" s="363" t="s">
        <v>491</v>
      </c>
      <c r="G163" s="360"/>
      <c r="H163" s="360"/>
      <c r="I163" s="360"/>
      <c r="J163" s="360">
        <v>45471</v>
      </c>
      <c r="K163" s="360">
        <v>90944</v>
      </c>
      <c r="L163" s="360">
        <v>90944</v>
      </c>
      <c r="M163" s="360">
        <v>90944</v>
      </c>
      <c r="N163" s="360">
        <v>90944</v>
      </c>
      <c r="O163" s="360">
        <v>90944</v>
      </c>
      <c r="P163" s="360">
        <v>90944</v>
      </c>
      <c r="Q163" s="360">
        <v>90944</v>
      </c>
      <c r="R163" s="360">
        <v>90944</v>
      </c>
      <c r="S163" s="360">
        <v>90944</v>
      </c>
      <c r="T163" s="360">
        <v>90944</v>
      </c>
      <c r="U163" s="361">
        <v>636608</v>
      </c>
      <c r="V163" s="350">
        <f t="shared" si="3"/>
        <v>1591519</v>
      </c>
      <c r="X163" s="345"/>
    </row>
    <row r="164" spans="1:24" s="337" customFormat="1" ht="12.75">
      <c r="A164" s="365">
        <v>79</v>
      </c>
      <c r="B164" s="351" t="s">
        <v>729</v>
      </c>
      <c r="C164" s="454"/>
      <c r="D164" s="456"/>
      <c r="E164" s="452"/>
      <c r="F164" s="353">
        <v>0.00636</v>
      </c>
      <c r="G164" s="354"/>
      <c r="H164" s="354">
        <v>11743</v>
      </c>
      <c r="I164" s="354">
        <v>16136</v>
      </c>
      <c r="J164" s="354">
        <v>16155</v>
      </c>
      <c r="K164" s="354">
        <v>15533</v>
      </c>
      <c r="L164" s="354">
        <v>14611</v>
      </c>
      <c r="M164" s="354">
        <v>13689</v>
      </c>
      <c r="N164" s="354">
        <v>12802</v>
      </c>
      <c r="O164" s="354">
        <v>11845</v>
      </c>
      <c r="P164" s="354">
        <v>10923</v>
      </c>
      <c r="Q164" s="354">
        <v>10001</v>
      </c>
      <c r="R164" s="354">
        <v>9104</v>
      </c>
      <c r="S164" s="354">
        <v>8157</v>
      </c>
      <c r="T164" s="354">
        <v>7234</v>
      </c>
      <c r="U164" s="362">
        <v>24895</v>
      </c>
      <c r="V164" s="357">
        <f t="shared" si="3"/>
        <v>182828</v>
      </c>
      <c r="X164" s="345"/>
    </row>
    <row r="165" spans="1:24" s="337" customFormat="1" ht="12.75" customHeight="1" hidden="1">
      <c r="A165" s="365"/>
      <c r="B165" s="346" t="s">
        <v>494</v>
      </c>
      <c r="C165" s="453" t="s">
        <v>697</v>
      </c>
      <c r="D165" s="455"/>
      <c r="E165" s="451"/>
      <c r="F165" s="363" t="s">
        <v>491</v>
      </c>
      <c r="G165" s="360"/>
      <c r="H165" s="360"/>
      <c r="I165" s="360"/>
      <c r="J165" s="360"/>
      <c r="K165" s="360"/>
      <c r="L165" s="360"/>
      <c r="M165" s="360"/>
      <c r="N165" s="360"/>
      <c r="O165" s="360"/>
      <c r="P165" s="360"/>
      <c r="Q165" s="360"/>
      <c r="R165" s="360"/>
      <c r="S165" s="360"/>
      <c r="T165" s="360"/>
      <c r="U165" s="361"/>
      <c r="V165" s="350">
        <f t="shared" si="3"/>
        <v>0</v>
      </c>
      <c r="X165" s="345"/>
    </row>
    <row r="166" spans="1:24" s="337" customFormat="1" ht="12.75" hidden="1">
      <c r="A166" s="365">
        <v>76</v>
      </c>
      <c r="B166" s="351"/>
      <c r="C166" s="454"/>
      <c r="D166" s="456"/>
      <c r="E166" s="452"/>
      <c r="F166" s="353">
        <v>0.0055</v>
      </c>
      <c r="G166" s="354"/>
      <c r="H166" s="354"/>
      <c r="I166" s="354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62"/>
      <c r="V166" s="357">
        <f t="shared" si="3"/>
        <v>0</v>
      </c>
      <c r="X166" s="345"/>
    </row>
    <row r="167" spans="1:22" ht="12.75">
      <c r="A167" s="366"/>
      <c r="B167" s="457" t="s">
        <v>698</v>
      </c>
      <c r="C167" s="458"/>
      <c r="D167" s="458"/>
      <c r="E167" s="459"/>
      <c r="F167" s="367" t="s">
        <v>29</v>
      </c>
      <c r="G167" s="368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+G163)+13603</f>
        <v>1656864.8599999999</v>
      </c>
      <c r="H167" s="368">
        <f aca="true" t="shared" si="4" ref="H167:U168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163)</f>
        <v>2943983</v>
      </c>
      <c r="I167" s="368">
        <f t="shared" si="4"/>
        <v>3257137.53</v>
      </c>
      <c r="J167" s="368">
        <f t="shared" si="4"/>
        <v>3295955.16</v>
      </c>
      <c r="K167" s="368">
        <f t="shared" si="4"/>
        <v>3276616.5</v>
      </c>
      <c r="L167" s="368">
        <f t="shared" si="4"/>
        <v>3523444.93</v>
      </c>
      <c r="M167" s="368">
        <f t="shared" si="4"/>
        <v>3541848</v>
      </c>
      <c r="N167" s="368">
        <f t="shared" si="4"/>
        <v>3555933.7900000005</v>
      </c>
      <c r="O167" s="368">
        <f t="shared" si="4"/>
        <v>3512680.94</v>
      </c>
      <c r="P167" s="368">
        <f t="shared" si="4"/>
        <v>2964144.36</v>
      </c>
      <c r="Q167" s="368">
        <f t="shared" si="4"/>
        <v>2716716.6100000003</v>
      </c>
      <c r="R167" s="368">
        <f t="shared" si="4"/>
        <v>2488054.04</v>
      </c>
      <c r="S167" s="368">
        <f t="shared" si="4"/>
        <v>2372999.54</v>
      </c>
      <c r="T167" s="368">
        <f t="shared" si="4"/>
        <v>2108659</v>
      </c>
      <c r="U167" s="368">
        <f t="shared" si="4"/>
        <v>2159187.73</v>
      </c>
      <c r="V167" s="369">
        <f>SUM(G167:U167)</f>
        <v>43374225.989999995</v>
      </c>
    </row>
    <row r="168" spans="1:22" ht="13.5" thickBot="1">
      <c r="A168" s="370"/>
      <c r="B168" s="460" t="s">
        <v>699</v>
      </c>
      <c r="C168" s="460"/>
      <c r="D168" s="460"/>
      <c r="E168" s="460"/>
      <c r="F168" s="371" t="s">
        <v>29</v>
      </c>
      <c r="G168" s="372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+G160+G162+G164)</f>
        <v>400853.6399999999</v>
      </c>
      <c r="H168" s="372">
        <f t="shared" si="4"/>
        <v>359610</v>
      </c>
      <c r="I168" s="372">
        <f t="shared" si="4"/>
        <v>388749</v>
      </c>
      <c r="J168" s="372">
        <f t="shared" si="4"/>
        <v>355809</v>
      </c>
      <c r="K168" s="372">
        <f t="shared" si="4"/>
        <v>321866</v>
      </c>
      <c r="L168" s="372">
        <f t="shared" si="4"/>
        <v>288184</v>
      </c>
      <c r="M168" s="372">
        <f t="shared" si="4"/>
        <v>252549</v>
      </c>
      <c r="N168" s="372">
        <f t="shared" si="4"/>
        <v>217219</v>
      </c>
      <c r="O168" s="372">
        <f t="shared" si="4"/>
        <v>180550</v>
      </c>
      <c r="P168" s="372">
        <f t="shared" si="4"/>
        <v>145542</v>
      </c>
      <c r="Q168" s="372">
        <f t="shared" si="4"/>
        <v>116103</v>
      </c>
      <c r="R168" s="372">
        <f t="shared" si="4"/>
        <v>89180</v>
      </c>
      <c r="S168" s="372">
        <f t="shared" si="4"/>
        <v>63893</v>
      </c>
      <c r="T168" s="372">
        <f t="shared" si="4"/>
        <v>39967</v>
      </c>
      <c r="U168" s="372">
        <f t="shared" si="4"/>
        <v>57534</v>
      </c>
      <c r="V168" s="373">
        <f>SUM(G168:U168)</f>
        <v>3277608.6399999997</v>
      </c>
    </row>
    <row r="169" spans="1:22" ht="13.5" thickTop="1">
      <c r="A169" s="374"/>
      <c r="B169" s="461" t="s">
        <v>700</v>
      </c>
      <c r="C169" s="462"/>
      <c r="D169" s="462"/>
      <c r="E169" s="462"/>
      <c r="F169" s="375" t="s">
        <v>29</v>
      </c>
      <c r="G169" s="376">
        <f aca="true" t="shared" si="5" ref="G169:V169">SUM(G167:G168)</f>
        <v>2057718.4999999998</v>
      </c>
      <c r="H169" s="376">
        <f t="shared" si="5"/>
        <v>3303593</v>
      </c>
      <c r="I169" s="376">
        <f t="shared" si="5"/>
        <v>3645886.53</v>
      </c>
      <c r="J169" s="376">
        <f t="shared" si="5"/>
        <v>3651764.16</v>
      </c>
      <c r="K169" s="376">
        <f t="shared" si="5"/>
        <v>3598482.5</v>
      </c>
      <c r="L169" s="376">
        <f t="shared" si="5"/>
        <v>3811628.93</v>
      </c>
      <c r="M169" s="376">
        <f t="shared" si="5"/>
        <v>3794397</v>
      </c>
      <c r="N169" s="376">
        <f t="shared" si="5"/>
        <v>3773152.7900000005</v>
      </c>
      <c r="O169" s="376">
        <f t="shared" si="5"/>
        <v>3693230.94</v>
      </c>
      <c r="P169" s="376">
        <f t="shared" si="5"/>
        <v>3109686.36</v>
      </c>
      <c r="Q169" s="376">
        <f t="shared" si="5"/>
        <v>2832819.6100000003</v>
      </c>
      <c r="R169" s="376">
        <f t="shared" si="5"/>
        <v>2577234.04</v>
      </c>
      <c r="S169" s="376">
        <f t="shared" si="5"/>
        <v>2436892.54</v>
      </c>
      <c r="T169" s="376">
        <f t="shared" si="5"/>
        <v>2148626</v>
      </c>
      <c r="U169" s="376">
        <f t="shared" si="5"/>
        <v>2216721.73</v>
      </c>
      <c r="V169" s="377">
        <f t="shared" si="5"/>
        <v>46651834.629999995</v>
      </c>
    </row>
    <row r="170" spans="1:22" ht="12.75">
      <c r="A170" s="378"/>
      <c r="B170" s="466" t="s">
        <v>701</v>
      </c>
      <c r="C170" s="467"/>
      <c r="D170" s="379" t="s">
        <v>702</v>
      </c>
      <c r="E170" s="380">
        <f>25774812</f>
        <v>25774812</v>
      </c>
      <c r="F170" s="381" t="s">
        <v>703</v>
      </c>
      <c r="G170" s="382">
        <f>SUM(G169/$E$170)</f>
        <v>0.07983447173154938</v>
      </c>
      <c r="H170" s="382">
        <f>SUM(H169/$E$170)</f>
        <v>0.12817137133725748</v>
      </c>
      <c r="I170" s="382">
        <f>SUM(I169/$E$170)</f>
        <v>0.14145152756109336</v>
      </c>
      <c r="J170" s="382">
        <f>SUM(J169/$E$170)</f>
        <v>0.14167956530584977</v>
      </c>
      <c r="K170" s="382">
        <f>SUM(K169/$E$170)</f>
        <v>0.13961236652278977</v>
      </c>
      <c r="L170" s="382">
        <f aca="true" t="shared" si="6" ref="L170:V170">SUM(L169/$E$170)</f>
        <v>0.14788192945888412</v>
      </c>
      <c r="M170" s="382">
        <f t="shared" si="6"/>
        <v>0.14721337249714955</v>
      </c>
      <c r="N170" s="382">
        <f t="shared" si="6"/>
        <v>0.146389148832589</v>
      </c>
      <c r="O170" s="382">
        <f t="shared" si="6"/>
        <v>0.14328837548844198</v>
      </c>
      <c r="P170" s="382">
        <f t="shared" si="6"/>
        <v>0.12064826544612624</v>
      </c>
      <c r="Q170" s="382">
        <f t="shared" si="6"/>
        <v>0.10990650911440208</v>
      </c>
      <c r="R170" s="382">
        <f t="shared" si="6"/>
        <v>0.09999041079329696</v>
      </c>
      <c r="S170" s="382">
        <f t="shared" si="6"/>
        <v>0.09454550201956856</v>
      </c>
      <c r="T170" s="382">
        <f t="shared" si="6"/>
        <v>0.0833614615695354</v>
      </c>
      <c r="U170" s="382">
        <f t="shared" si="6"/>
        <v>0.08600341022855958</v>
      </c>
      <c r="V170" s="383">
        <f t="shared" si="6"/>
        <v>1.809977687907093</v>
      </c>
    </row>
    <row r="172" spans="7:22" ht="18.75">
      <c r="G172" s="384"/>
      <c r="L172" s="4" t="s">
        <v>431</v>
      </c>
      <c r="M172" s="4"/>
      <c r="N172" s="177"/>
      <c r="O172" s="178"/>
      <c r="V172" s="179" t="s">
        <v>432</v>
      </c>
    </row>
    <row r="173" spans="1:22" ht="22.5" customHeight="1">
      <c r="A173" s="385"/>
      <c r="B173" s="468"/>
      <c r="C173" s="468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</row>
    <row r="174" spans="1:7" ht="25.5" customHeight="1">
      <c r="A174" s="387"/>
      <c r="B174" s="469"/>
      <c r="C174" s="469"/>
      <c r="D174" s="388"/>
      <c r="G174" s="389"/>
    </row>
    <row r="175" spans="1:4" ht="12.75">
      <c r="A175" s="390"/>
      <c r="B175" s="470"/>
      <c r="C175" s="470"/>
      <c r="D175" s="388"/>
    </row>
    <row r="176" spans="1:4" ht="26.25" customHeight="1">
      <c r="A176" s="390"/>
      <c r="B176" s="471"/>
      <c r="C176" s="471"/>
      <c r="D176" s="388"/>
    </row>
    <row r="177" spans="1:4" ht="12.75">
      <c r="A177" s="390"/>
      <c r="B177" s="463"/>
      <c r="C177" s="463"/>
      <c r="D177" s="388"/>
    </row>
    <row r="178" spans="1:4" ht="12.75" customHeight="1">
      <c r="A178" s="390"/>
      <c r="B178" s="463"/>
      <c r="C178" s="463"/>
      <c r="D178" s="388"/>
    </row>
    <row r="179" spans="1:4" ht="12.75">
      <c r="A179" s="390"/>
      <c r="B179" s="463"/>
      <c r="C179" s="463"/>
      <c r="D179" s="388"/>
    </row>
    <row r="180" spans="1:4" ht="39" customHeight="1">
      <c r="A180" s="390"/>
      <c r="B180" s="464"/>
      <c r="C180" s="464"/>
      <c r="D180" s="388"/>
    </row>
    <row r="181" spans="1:4" ht="12.75">
      <c r="A181" s="390"/>
      <c r="B181" s="465"/>
      <c r="C181" s="465"/>
      <c r="D181" s="391"/>
    </row>
    <row r="182" spans="2:4" ht="12.75">
      <c r="B182" s="392"/>
      <c r="C182" s="393"/>
      <c r="D182" s="393"/>
    </row>
    <row r="183" spans="2:4" ht="12.75">
      <c r="B183" s="392"/>
      <c r="C183" s="393"/>
      <c r="D183" s="393"/>
    </row>
  </sheetData>
  <sheetProtection/>
  <mergeCells count="287">
    <mergeCell ref="B178:C178"/>
    <mergeCell ref="B179:C179"/>
    <mergeCell ref="B180:C180"/>
    <mergeCell ref="B181:C181"/>
    <mergeCell ref="B170:C170"/>
    <mergeCell ref="B173:C173"/>
    <mergeCell ref="B174:C174"/>
    <mergeCell ref="B175:C175"/>
    <mergeCell ref="B176:C176"/>
    <mergeCell ref="B177:C177"/>
    <mergeCell ref="C165:C166"/>
    <mergeCell ref="D165:D166"/>
    <mergeCell ref="E165:E166"/>
    <mergeCell ref="B167:E167"/>
    <mergeCell ref="B168:E168"/>
    <mergeCell ref="B169:E169"/>
    <mergeCell ref="A161:A162"/>
    <mergeCell ref="C161:C162"/>
    <mergeCell ref="D161:D162"/>
    <mergeCell ref="E161:E162"/>
    <mergeCell ref="C163:C164"/>
    <mergeCell ref="D163:D164"/>
    <mergeCell ref="E163:E164"/>
    <mergeCell ref="A157:A158"/>
    <mergeCell ref="C157:C158"/>
    <mergeCell ref="D157:D158"/>
    <mergeCell ref="E157:E158"/>
    <mergeCell ref="A159:A160"/>
    <mergeCell ref="C159:C160"/>
    <mergeCell ref="D159:D160"/>
    <mergeCell ref="E159:E160"/>
    <mergeCell ref="A153:A154"/>
    <mergeCell ref="C153:C154"/>
    <mergeCell ref="D153:D154"/>
    <mergeCell ref="E153:E154"/>
    <mergeCell ref="A155:A156"/>
    <mergeCell ref="C155:C156"/>
    <mergeCell ref="D155:D156"/>
    <mergeCell ref="E155:E156"/>
    <mergeCell ref="A149:A150"/>
    <mergeCell ref="C149:C150"/>
    <mergeCell ref="D149:D150"/>
    <mergeCell ref="E149:E150"/>
    <mergeCell ref="A151:A152"/>
    <mergeCell ref="C151:C152"/>
    <mergeCell ref="D151:D152"/>
    <mergeCell ref="E151:E152"/>
    <mergeCell ref="A145:A146"/>
    <mergeCell ref="C145:C146"/>
    <mergeCell ref="D145:D146"/>
    <mergeCell ref="E145:E146"/>
    <mergeCell ref="A147:A148"/>
    <mergeCell ref="C147:C148"/>
    <mergeCell ref="D147:D148"/>
    <mergeCell ref="E147:E148"/>
    <mergeCell ref="A141:A142"/>
    <mergeCell ref="C141:C142"/>
    <mergeCell ref="D141:D142"/>
    <mergeCell ref="E141:E142"/>
    <mergeCell ref="A143:A144"/>
    <mergeCell ref="C143:C144"/>
    <mergeCell ref="D143:D144"/>
    <mergeCell ref="E143:E144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33:A134"/>
    <mergeCell ref="C133:C134"/>
    <mergeCell ref="D133:D134"/>
    <mergeCell ref="E133:E134"/>
    <mergeCell ref="A135:A136"/>
    <mergeCell ref="C135:C136"/>
    <mergeCell ref="D135:D136"/>
    <mergeCell ref="E135:E136"/>
    <mergeCell ref="A129:A130"/>
    <mergeCell ref="C129:C130"/>
    <mergeCell ref="D129:D130"/>
    <mergeCell ref="E129:E130"/>
    <mergeCell ref="A131:A132"/>
    <mergeCell ref="C131:C132"/>
    <mergeCell ref="D131:D132"/>
    <mergeCell ref="E131:E132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A121:A122"/>
    <mergeCell ref="C121:C122"/>
    <mergeCell ref="D121:D122"/>
    <mergeCell ref="E121:E122"/>
    <mergeCell ref="A123:A124"/>
    <mergeCell ref="C123:C124"/>
    <mergeCell ref="D123:D124"/>
    <mergeCell ref="E123:E124"/>
    <mergeCell ref="A117:A118"/>
    <mergeCell ref="C117:C118"/>
    <mergeCell ref="D117:D118"/>
    <mergeCell ref="E117:E118"/>
    <mergeCell ref="A119:A120"/>
    <mergeCell ref="C119:C120"/>
    <mergeCell ref="D119:D120"/>
    <mergeCell ref="E119:E120"/>
    <mergeCell ref="A113:A114"/>
    <mergeCell ref="C113:C114"/>
    <mergeCell ref="D113:D114"/>
    <mergeCell ref="E113:E114"/>
    <mergeCell ref="A115:A116"/>
    <mergeCell ref="C115:C116"/>
    <mergeCell ref="D115:D116"/>
    <mergeCell ref="E115:E116"/>
    <mergeCell ref="A109:A110"/>
    <mergeCell ref="C109:C110"/>
    <mergeCell ref="D109:D110"/>
    <mergeCell ref="E109:E110"/>
    <mergeCell ref="A111:A112"/>
    <mergeCell ref="C111:C112"/>
    <mergeCell ref="D111:D112"/>
    <mergeCell ref="E111:E112"/>
    <mergeCell ref="E103:E104"/>
    <mergeCell ref="A105:A106"/>
    <mergeCell ref="C105:C106"/>
    <mergeCell ref="D105:D106"/>
    <mergeCell ref="E105:E106"/>
    <mergeCell ref="A107:A108"/>
    <mergeCell ref="C107:C108"/>
    <mergeCell ref="D107:D108"/>
    <mergeCell ref="E107:E108"/>
    <mergeCell ref="A101:A102"/>
    <mergeCell ref="C101:C102"/>
    <mergeCell ref="D101:D102"/>
    <mergeCell ref="A103:A104"/>
    <mergeCell ref="C103:C104"/>
    <mergeCell ref="D103:D104"/>
    <mergeCell ref="A97:A98"/>
    <mergeCell ref="C97:C98"/>
    <mergeCell ref="D97:D98"/>
    <mergeCell ref="A99:A100"/>
    <mergeCell ref="C99:C100"/>
    <mergeCell ref="D99:D100"/>
    <mergeCell ref="A93:A94"/>
    <mergeCell ref="C93:C94"/>
    <mergeCell ref="D93:D94"/>
    <mergeCell ref="A95:A96"/>
    <mergeCell ref="C95:C96"/>
    <mergeCell ref="D95:D96"/>
    <mergeCell ref="A89:A90"/>
    <mergeCell ref="C89:C90"/>
    <mergeCell ref="D89:D90"/>
    <mergeCell ref="A91:A92"/>
    <mergeCell ref="C91:C92"/>
    <mergeCell ref="D91:D92"/>
    <mergeCell ref="A85:A86"/>
    <mergeCell ref="C85:C86"/>
    <mergeCell ref="D85:D86"/>
    <mergeCell ref="A87:A88"/>
    <mergeCell ref="C87:C88"/>
    <mergeCell ref="D87:D88"/>
    <mergeCell ref="A81:A82"/>
    <mergeCell ref="C81:C82"/>
    <mergeCell ref="D81:D82"/>
    <mergeCell ref="A83:A84"/>
    <mergeCell ref="C83:C84"/>
    <mergeCell ref="D83:D84"/>
    <mergeCell ref="A77:A78"/>
    <mergeCell ref="C77:C78"/>
    <mergeCell ref="D77:D78"/>
    <mergeCell ref="A79:A80"/>
    <mergeCell ref="C79:C80"/>
    <mergeCell ref="D79:D80"/>
    <mergeCell ref="A73:A74"/>
    <mergeCell ref="C73:C74"/>
    <mergeCell ref="D73:D74"/>
    <mergeCell ref="A75:A76"/>
    <mergeCell ref="C75:C76"/>
    <mergeCell ref="D75:D76"/>
    <mergeCell ref="A69:A70"/>
    <mergeCell ref="C69:C70"/>
    <mergeCell ref="D69:D70"/>
    <mergeCell ref="A71:A72"/>
    <mergeCell ref="C71:C72"/>
    <mergeCell ref="D71:D72"/>
    <mergeCell ref="A65:A66"/>
    <mergeCell ref="C65:C66"/>
    <mergeCell ref="D65:D66"/>
    <mergeCell ref="A67:A68"/>
    <mergeCell ref="C67:C68"/>
    <mergeCell ref="D67:D68"/>
    <mergeCell ref="A61:A62"/>
    <mergeCell ref="C61:C62"/>
    <mergeCell ref="D61:D62"/>
    <mergeCell ref="A63:A64"/>
    <mergeCell ref="C63:C64"/>
    <mergeCell ref="D63:D64"/>
    <mergeCell ref="A57:A58"/>
    <mergeCell ref="C57:C58"/>
    <mergeCell ref="D57:D58"/>
    <mergeCell ref="A59:A60"/>
    <mergeCell ref="C59:C60"/>
    <mergeCell ref="D59:D60"/>
    <mergeCell ref="A53:A54"/>
    <mergeCell ref="C53:C54"/>
    <mergeCell ref="D53:D54"/>
    <mergeCell ref="A55:A56"/>
    <mergeCell ref="C55:C56"/>
    <mergeCell ref="D55:D56"/>
    <mergeCell ref="A49:A50"/>
    <mergeCell ref="C49:C50"/>
    <mergeCell ref="D49:D50"/>
    <mergeCell ref="A51:A52"/>
    <mergeCell ref="C51:C52"/>
    <mergeCell ref="D51:D52"/>
    <mergeCell ref="A45:A46"/>
    <mergeCell ref="C45:C46"/>
    <mergeCell ref="D45:D46"/>
    <mergeCell ref="A47:A48"/>
    <mergeCell ref="C47:C48"/>
    <mergeCell ref="D47:D48"/>
    <mergeCell ref="A41:A42"/>
    <mergeCell ref="C41:C42"/>
    <mergeCell ref="D41:D42"/>
    <mergeCell ref="A43:A44"/>
    <mergeCell ref="C43:C44"/>
    <mergeCell ref="D43:D44"/>
    <mergeCell ref="A37:A38"/>
    <mergeCell ref="C37:C38"/>
    <mergeCell ref="D37:D38"/>
    <mergeCell ref="A39:A40"/>
    <mergeCell ref="C39:C40"/>
    <mergeCell ref="D39:D40"/>
    <mergeCell ref="A33:A34"/>
    <mergeCell ref="C33:C34"/>
    <mergeCell ref="D33:D34"/>
    <mergeCell ref="A35:A36"/>
    <mergeCell ref="C35:C36"/>
    <mergeCell ref="D35:D36"/>
    <mergeCell ref="A29:A30"/>
    <mergeCell ref="C29:C30"/>
    <mergeCell ref="D29:D30"/>
    <mergeCell ref="A31:A32"/>
    <mergeCell ref="C31:C32"/>
    <mergeCell ref="D31:D32"/>
    <mergeCell ref="A25:A26"/>
    <mergeCell ref="C25:C26"/>
    <mergeCell ref="D25:D26"/>
    <mergeCell ref="A27:A28"/>
    <mergeCell ref="C27:C28"/>
    <mergeCell ref="D27:D28"/>
    <mergeCell ref="A21:A22"/>
    <mergeCell ref="C21:C22"/>
    <mergeCell ref="D21:D22"/>
    <mergeCell ref="A23:A24"/>
    <mergeCell ref="C23:C24"/>
    <mergeCell ref="D23:D24"/>
    <mergeCell ref="A17:A18"/>
    <mergeCell ref="C17:C18"/>
    <mergeCell ref="D17:D18"/>
    <mergeCell ref="A19:A20"/>
    <mergeCell ref="C19:C20"/>
    <mergeCell ref="D19:D20"/>
    <mergeCell ref="A13:A14"/>
    <mergeCell ref="C13:C14"/>
    <mergeCell ref="D13:D14"/>
    <mergeCell ref="A15:A16"/>
    <mergeCell ref="C15:C16"/>
    <mergeCell ref="D15:D16"/>
    <mergeCell ref="A9:A10"/>
    <mergeCell ref="C9:C10"/>
    <mergeCell ref="D9:D10"/>
    <mergeCell ref="A11:A12"/>
    <mergeCell ref="C11:C12"/>
    <mergeCell ref="D11:D12"/>
    <mergeCell ref="A4:K4"/>
    <mergeCell ref="A5:A6"/>
    <mergeCell ref="B5:B6"/>
    <mergeCell ref="C5:C6"/>
    <mergeCell ref="A7:A8"/>
    <mergeCell ref="C7:C8"/>
    <mergeCell ref="D7:D8"/>
  </mergeCells>
  <printOptions/>
  <pageMargins left="0.7480314960629921" right="0.7480314960629921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&amp;R&amp;P</oddFooter>
  </headerFooter>
  <rowBreaks count="4" manualBreakCount="4">
    <brk id="42" max="255" man="1"/>
    <brk id="82" max="255" man="1"/>
    <brk id="122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2014-01-23T12:55:46Z</cp:lastPrinted>
  <dcterms:created xsi:type="dcterms:W3CDTF">2007-01-09T12:30:29Z</dcterms:created>
  <dcterms:modified xsi:type="dcterms:W3CDTF">2014-01-23T12:55:54Z</dcterms:modified>
  <cp:category/>
  <cp:version/>
  <cp:contentType/>
  <cp:contentStatus/>
</cp:coreProperties>
</file>