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2"/>
  </bookViews>
  <sheets>
    <sheet name="1.pielikums_ 2014" sheetId="1" r:id="rId1"/>
    <sheet name="2.pielikums_2014" sheetId="2" r:id="rId2"/>
    <sheet name="3.pielikums_2014" sheetId="3" r:id="rId3"/>
    <sheet name="4.pielikums_2014" sheetId="4" r:id="rId4"/>
    <sheet name="5.pielikums_2014" sheetId="5" r:id="rId5"/>
  </sheets>
  <externalReferences>
    <externalReference r:id="rId8"/>
  </externalReferences>
  <definedNames>
    <definedName name="_xlnm.Print_Titles" localSheetId="2">'3.pielikums_2014'!$7:$8</definedName>
    <definedName name="_xlnm.Print_Titles" localSheetId="4">'5.pielikums_2014'!$A:$A,'5.pielikums_2014'!$5:$6</definedName>
  </definedNames>
  <calcPr fullCalcOnLoad="1"/>
</workbook>
</file>

<file path=xl/sharedStrings.xml><?xml version="1.0" encoding="utf-8"?>
<sst xmlns="http://schemas.openxmlformats.org/spreadsheetml/2006/main" count="980" uniqueCount="693">
  <si>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</si>
  <si>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</si>
  <si>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</si>
  <si>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</si>
  <si>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</si>
  <si>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</si>
  <si>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</si>
  <si>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</si>
  <si>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</si>
  <si>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</si>
  <si>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</si>
  <si>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</si>
  <si>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</si>
  <si>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</si>
  <si>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</si>
  <si>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</si>
  <si>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</si>
  <si>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</si>
  <si>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</si>
  <si>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</si>
  <si>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</si>
  <si>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</si>
  <si>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</si>
  <si>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</si>
  <si>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</si>
  <si>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</si>
  <si>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</si>
  <si>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</si>
  <si>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</si>
  <si>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</si>
  <si>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</si>
  <si>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</si>
  <si>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</si>
  <si>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</si>
  <si>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</si>
  <si>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</si>
  <si>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</si>
  <si>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</si>
  <si>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</si>
  <si>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</si>
  <si>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</si>
  <si>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</si>
  <si>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</si>
  <si>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</si>
  <si>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</si>
  <si>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</si>
  <si>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</si>
  <si>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</si>
  <si>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</si>
  <si>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</si>
  <si>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</si>
  <si>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</si>
  <si>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</si>
  <si>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</si>
  <si>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</si>
  <si>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</si>
  <si>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</si>
  <si>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</si>
  <si>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</si>
  <si>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</si>
  <si>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</si>
  <si>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</si>
  <si>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</si>
  <si>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</si>
  <si>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</si>
  <si>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</si>
  <si>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</si>
  <si>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</si>
  <si>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</si>
  <si>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</si>
  <si>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</si>
  <si>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</si>
  <si>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</si>
  <si>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</si>
  <si>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</si>
  <si>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</si>
  <si>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</si>
  <si>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</si>
  <si>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</si>
  <si>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</si>
  <si>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</si>
  <si>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</si>
  <si>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</si>
  <si>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</si>
  <si>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</si>
  <si>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</si>
  <si>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</si>
  <si>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</si>
  <si>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</si>
  <si>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</si>
  <si>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</si>
  <si>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</si>
  <si>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</si>
  <si>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</si>
  <si>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</si>
  <si>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</si>
  <si>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</si>
  <si>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</si>
  <si>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</si>
  <si>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</si>
  <si>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10.600.</t>
  </si>
  <si>
    <t>10.700.</t>
  </si>
  <si>
    <t>10.910.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</si>
  <si>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</si>
  <si>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</si>
  <si>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</si>
  <si>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</si>
  <si>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</si>
  <si>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</si>
  <si>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</si>
  <si>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</si>
  <si>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</si>
  <si>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</si>
  <si>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</si>
  <si>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</si>
  <si>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</si>
  <si>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</si>
  <si>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</si>
  <si>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</si>
  <si>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</si>
  <si>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</si>
  <si>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</si>
  <si>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</si>
  <si>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</si>
  <si>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</si>
  <si>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</si>
  <si>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</si>
  <si>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</si>
  <si>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</si>
  <si>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</si>
  <si>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10.401.</t>
  </si>
  <si>
    <t>10.403.</t>
  </si>
  <si>
    <t>10.701.</t>
  </si>
  <si>
    <t>10.703.</t>
  </si>
  <si>
    <t>10.704.</t>
  </si>
  <si>
    <t>10.706.</t>
  </si>
  <si>
    <t>10.707.</t>
  </si>
  <si>
    <t>Sociālā māja un sociālie dzīvokļi</t>
  </si>
  <si>
    <t>Atkarību profilakses kabinets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</si>
  <si>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</si>
  <si>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</si>
  <si>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</si>
  <si>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</si>
  <si>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</si>
  <si>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</si>
  <si>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</si>
  <si>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</si>
  <si>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</si>
  <si>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</si>
  <si>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</si>
  <si>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</si>
  <si>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Naudas sodi, ko uzliek pašvaldības</t>
  </si>
  <si>
    <t>Soda sankcijas par vispārējiem nodokļu maksāšanas pārkāpumiem</t>
  </si>
  <si>
    <t xml:space="preserve">Ieņēmumi no pašvaldības īpašuma iznomāšanas, pārdošanas un no nodokļu pamatparāda kapitalizācijas 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</si>
  <si>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</si>
  <si>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</si>
  <si>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</si>
  <si>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</si>
  <si>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</si>
  <si>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</si>
  <si>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</si>
  <si>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</si>
  <si>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</si>
  <si>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</si>
  <si>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</si>
  <si>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>Pamatkapitāla palielināšana SIA "Zemgales Olimpiskais centrs"</t>
  </si>
  <si>
    <t>Pārējā citur neklasificētā kultūra</t>
  </si>
  <si>
    <t>Bērnu un ģimenes atbalsta centrs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</si>
  <si>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</si>
  <si>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</si>
  <si>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</si>
  <si>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</si>
  <si>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</si>
  <si>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</si>
  <si>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</si>
  <si>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</si>
  <si>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</si>
  <si>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</si>
  <si>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</si>
  <si>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</si>
  <si>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</si>
  <si>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</si>
  <si>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</si>
  <si>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</si>
  <si>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</si>
  <si>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</si>
  <si>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</si>
  <si>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</si>
  <si>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</si>
  <si>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</si>
  <si>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</si>
  <si>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</si>
  <si>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</si>
  <si>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Pārejie dažādi nenodokļu ieņēmumi, kas nav iepriekš klasificēti šajā klasifikācijā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</si>
  <si>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</si>
  <si>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</si>
  <si>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</si>
  <si>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</si>
  <si>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</si>
  <si>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</si>
  <si>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</si>
  <si>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</si>
  <si>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04.905.</t>
  </si>
  <si>
    <t>Zemes reformas darbība, zemes īpašuma un lietošanas tiesību pārveidošana</t>
  </si>
  <si>
    <t>Inteliģentās enerģijas -Eiropas programmas  projekts "Zemgales reģionālās enerģijas aģentūras izveide enerģijas vadības un efektivitātes atbalstīšanai"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</si>
  <si>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</si>
  <si>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</si>
  <si>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</si>
  <si>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</si>
  <si>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</si>
  <si>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</si>
  <si>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</si>
  <si>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</si>
  <si>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</si>
  <si>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</si>
  <si>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</si>
  <si>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</si>
  <si>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</si>
  <si>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</si>
  <si>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</si>
  <si>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</si>
  <si>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Ieņēmumi no dzīvojamo māju privatizācijas</t>
  </si>
  <si>
    <t>01.111.</t>
  </si>
  <si>
    <t xml:space="preserve">Klasifik. kods </t>
  </si>
  <si>
    <t>Izpildvaras institūcija</t>
  </si>
  <si>
    <t>01.112.</t>
  </si>
  <si>
    <t>04.519.</t>
  </si>
  <si>
    <t>04.906.</t>
  </si>
  <si>
    <t>08.241.</t>
  </si>
  <si>
    <t>Jelgavas kamerorķestris</t>
  </si>
  <si>
    <t>09.210.</t>
  </si>
  <si>
    <t>08.105.</t>
  </si>
  <si>
    <t>08.243.</t>
  </si>
  <si>
    <t>Jelgavas Ā.Alunāna teātra darbības nodrošināšana</t>
  </si>
  <si>
    <t>08.401.</t>
  </si>
  <si>
    <t>08.402.</t>
  </si>
  <si>
    <t>Citi dažādi nenodokļu ieņēmumi</t>
  </si>
  <si>
    <t>08.231.</t>
  </si>
  <si>
    <t>08.232.</t>
  </si>
  <si>
    <t>08.403.</t>
  </si>
  <si>
    <t>Kultūras padomes finansētie pasākumi</t>
  </si>
  <si>
    <t>Subsīdija nodibinājumam "Kultūras tālākizglītības atbalsta fonds"</t>
  </si>
  <si>
    <t>08.405.</t>
  </si>
  <si>
    <t>Reliģisko organizāciju un citu biedrību un nodibinājumu pakalpojumi</t>
  </si>
  <si>
    <t>09.521.</t>
  </si>
  <si>
    <t>09.522.</t>
  </si>
  <si>
    <t>Atbalsta fondi</t>
  </si>
  <si>
    <t>Zvērināto auditoru pakalpojumi un grāmatvedības programmas "Horizon" uzturēšana</t>
  </si>
  <si>
    <t xml:space="preserve">Klasifikā-cijas kods 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</si>
  <si>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</si>
  <si>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</si>
  <si>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</si>
  <si>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</si>
  <si>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</si>
  <si>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</si>
  <si>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</si>
  <si>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</si>
  <si>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</si>
  <si>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</si>
  <si>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</si>
  <si>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</si>
  <si>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</si>
  <si>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</si>
  <si>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</si>
  <si>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</si>
  <si>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</si>
  <si>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</si>
  <si>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</si>
  <si>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</si>
  <si>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</si>
  <si>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</si>
  <si>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</si>
  <si>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</si>
  <si>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</si>
  <si>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</si>
  <si>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</si>
  <si>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</si>
  <si>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</si>
  <si>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</si>
  <si>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</si>
  <si>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</si>
  <si>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</si>
  <si>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</si>
  <si>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 xml:space="preserve">Budžeta iestāžu ieņēmumi </t>
  </si>
  <si>
    <t>21.300.</t>
  </si>
  <si>
    <t>21.340.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</si>
  <si>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</si>
  <si>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</si>
  <si>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</si>
  <si>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</si>
  <si>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</si>
  <si>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</si>
  <si>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</si>
  <si>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</si>
  <si>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</si>
  <si>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Nekustamā īpašuma nodokļa u.c.pašvaldības ieņēmumu administrēšana</t>
  </si>
  <si>
    <t>Izpildvaras un likumdošanas varas institūcijas</t>
  </si>
  <si>
    <r>
      <t>Pārējo vispārējas nozīmes dienestu darbība un pakalpojumi -</t>
    </r>
    <r>
      <rPr>
        <b/>
        <i/>
        <sz val="11"/>
        <rFont val="Times New Roman"/>
        <family val="1"/>
      </rPr>
      <t xml:space="preserve"> centralizēto datoru un datortīkla uzturēšana</t>
    </r>
  </si>
  <si>
    <r>
      <t xml:space="preserve">Pašvaldības budžetu parāda darījumi - </t>
    </r>
    <r>
      <rPr>
        <b/>
        <i/>
        <sz val="11"/>
        <rFont val="Times New Roman"/>
        <family val="1"/>
      </rPr>
      <t>parāda procentu nomaksa</t>
    </r>
  </si>
  <si>
    <r>
      <t xml:space="preserve">Pārējie citur neklasificētie vispārēja rakstura transferti starp dažādiem valsts pārvaldes līmeņiem - </t>
    </r>
    <r>
      <rPr>
        <i/>
        <sz val="11"/>
        <rFont val="Times New Roman"/>
        <family val="1"/>
      </rPr>
      <t>Izdevumi neparedzētiem gadījumiem</t>
    </r>
  </si>
  <si>
    <t>Jelgavas sporta skolas - SSC</t>
  </si>
  <si>
    <t>04.909.</t>
  </si>
  <si>
    <t>Dotācija "Zemgales plānošanas reģions"</t>
  </si>
  <si>
    <t>10.504.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</si>
  <si>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</si>
  <si>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</si>
  <si>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</si>
  <si>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09.812.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</si>
  <si>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</si>
  <si>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</si>
  <si>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</si>
  <si>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</si>
  <si>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</si>
  <si>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Citi iepriekš neklasificētie pašu ieņēmumi</t>
  </si>
  <si>
    <t>10.404.</t>
  </si>
  <si>
    <t>ESF projekts "Sociālās rehabilitācijas un motivācijas programma sociālās atstumtības riskam pakļautiem bērniem un jauniešiem Jelgavas pilsētā"</t>
  </si>
  <si>
    <r>
      <t>Kultūras centri, nami un klubi</t>
    </r>
    <r>
      <rPr>
        <b/>
        <i/>
        <sz val="11"/>
        <rFont val="Times New Roman"/>
        <family val="1"/>
      </rPr>
      <t xml:space="preserve"> </t>
    </r>
  </si>
  <si>
    <t>04.911.</t>
  </si>
  <si>
    <t>04.912.</t>
  </si>
  <si>
    <t>10.405.</t>
  </si>
  <si>
    <t>ERAF projekts "Ielu infrastruktūras attīstība un Driksas upes krastmalas sakārtošana"</t>
  </si>
  <si>
    <t>Latvijas - Lietuvas pārrobežu sadarbības programmas projekts "Zinātnes un ražošanas sadarbības veidošana Jelgavā un Šauļos"</t>
  </si>
  <si>
    <t xml:space="preserve">Pārējā citur neklasificētā pašvaldības teritoriju un mājokļu apsaimniekošanas darbība </t>
  </si>
  <si>
    <t>Dotācijas projektu realizācijai NVO</t>
  </si>
  <si>
    <t>Pirmsskolas izglītības iestāžu uzturēšana</t>
  </si>
  <si>
    <t>Atbalsts ģimenēm ar bērniem</t>
  </si>
  <si>
    <t>Atbalsts bezdarba gadījumā</t>
  </si>
  <si>
    <t>Pārējais citur neklasificētais atbalsts sociāli atstumtām personām</t>
  </si>
  <si>
    <r>
      <t>Mājokļa atbalsts -</t>
    </r>
    <r>
      <rPr>
        <b/>
        <i/>
        <sz val="11"/>
        <rFont val="Times New Roman"/>
        <family val="1"/>
      </rPr>
      <t>Dzīvokļa pabalsts un pabalsts individuālās apkures nodrošināšanai</t>
    </r>
  </si>
  <si>
    <t>Eiropas reģionālās attīstības projekts "Hidrotehnisko būvju rekonstrukcija plūdu draudu risku novēršanai Kalnciema ceļa - Loka maģistrāles rajonā, Jelgavā"</t>
  </si>
  <si>
    <t>ESF projekts "Sociālās rehabilitācijas programma Jelgavas pilsētā dzīvojošām romu tautības ģimenēm ar pirsskolas vai skolas vecuma bērniem"</t>
  </si>
  <si>
    <t>Palīdzība veciem cilvēkiem</t>
  </si>
  <si>
    <t>Valsts nodeva par uzvārda, vārda un tautības ieraksta maiņu personu apliecinošos dokumentos</t>
  </si>
  <si>
    <t>Subsīdija nodibinājumam "Sporta talākizglītības atbalsta fonds"</t>
  </si>
  <si>
    <t>09.529.</t>
  </si>
  <si>
    <t>06.606.</t>
  </si>
  <si>
    <t>03.204.</t>
  </si>
  <si>
    <t>04.914.</t>
  </si>
  <si>
    <t>08.242.</t>
  </si>
  <si>
    <t>10.709.</t>
  </si>
  <si>
    <t>01.600.</t>
  </si>
  <si>
    <t>10.922.</t>
  </si>
  <si>
    <t>04.520.</t>
  </si>
  <si>
    <t>04.734.</t>
  </si>
  <si>
    <t>05.304.</t>
  </si>
  <si>
    <t>07.622.</t>
  </si>
  <si>
    <t>09.219.3.</t>
  </si>
  <si>
    <t>09.518.</t>
  </si>
  <si>
    <r>
      <t xml:space="preserve">Pārējie iepriekš neklasificētie vispārējie vadības dienesti - </t>
    </r>
    <r>
      <rPr>
        <b/>
        <i/>
        <sz val="11"/>
        <rFont val="Times New Roman"/>
        <family val="1"/>
      </rPr>
      <t>vēlēšanu organizēšana</t>
    </r>
  </si>
  <si>
    <t>Latvijas - Lietuvas pārrobežu sadarbības programmas projekts "Glābšanas komandas izveide plūdu situāciju novēršanai Latvijas un Lietuvas pierobežas reģionā"</t>
  </si>
  <si>
    <t xml:space="preserve">Pašvaldības operatīvās informācijas centrs </t>
  </si>
  <si>
    <t>ERAF projekts "Lietuvas šosejas rekonstrukcija posmā no Miera ielas līdz Rūpniecības ielai"</t>
  </si>
  <si>
    <t>Centrālās baltijas jūras reģiona INTERREG IV A programmas projekts "Centrālbaltijas velotīkls"</t>
  </si>
  <si>
    <t>ESF projekts "Jelgavas pilsētas attīstības plānošanas kapacitātes paaugstināšana"</t>
  </si>
  <si>
    <t>ESF projekts „Jelgavas pilsētas pašvaldības kapacitātes stiprināšana – II kārta”</t>
  </si>
  <si>
    <t xml:space="preserve">Ielu, laukumu, publisko dārzu un parku tīrīšana un atkritumu savākšana </t>
  </si>
  <si>
    <t>Latvijas - Lietuvas pārrobežu sadarbības programmas projekts "Ekoloģisko avāriju likvidēšana un vides piesārņojuma mazināšana Lielupes baseina teritorijā"</t>
  </si>
  <si>
    <t>05.300.</t>
  </si>
  <si>
    <t>Vides piesārņojuma novēršana un samazināšana</t>
  </si>
  <si>
    <t>06.201.</t>
  </si>
  <si>
    <t>Ar pašvaldības teritoriju saistīto normatīvo aktu un standartu sagatavošana un ieviešana</t>
  </si>
  <si>
    <t>Veselības veicināšanas pasākumi</t>
  </si>
  <si>
    <t>Latvijas - Lietuvas pārrobežu sadarbības programmas projekts "Veseli jaunieši"</t>
  </si>
  <si>
    <t>Muzeji un izstādes</t>
  </si>
  <si>
    <t>P/ie "Kultūra" pasākumi</t>
  </si>
  <si>
    <t>Jelgavas bigbends</t>
  </si>
  <si>
    <t>Pirmskolas izglītība</t>
  </si>
  <si>
    <t>Pirmsskolas izglītības iestāde Ganību ielā 66, Jelgavā</t>
  </si>
  <si>
    <t>09.101.13.</t>
  </si>
  <si>
    <t>Vispārējā izglītība</t>
  </si>
  <si>
    <t>09.219.1.</t>
  </si>
  <si>
    <t>09.219.2.</t>
  </si>
  <si>
    <t>Jelgavas Amatu vidusskolas projektu realizācija</t>
  </si>
  <si>
    <t>09.222.2.</t>
  </si>
  <si>
    <t>09.222.3.</t>
  </si>
  <si>
    <t>Citi interešu izglītības pasākumi, t.sk. Bērnu un jauniešu izglītības centrs "Junda"</t>
  </si>
  <si>
    <t>Subsīdija nodibinājumam "Izglītības atbalsta fonds"</t>
  </si>
  <si>
    <t>Subsīdija nodibinājumam "J.Bisenieka fonds"</t>
  </si>
  <si>
    <t>P/ie "Jelgavas bērnu sociālās aprūpes centrs" īslaicīgās sociālās aprūpes grupa</t>
  </si>
  <si>
    <t>10.900.</t>
  </si>
  <si>
    <r>
      <t>Pārējā citur neklasificētā sociālā aizsardzība</t>
    </r>
    <r>
      <rPr>
        <b/>
        <i/>
        <sz val="11"/>
        <rFont val="Times New Roman"/>
        <family val="1"/>
      </rPr>
      <t xml:space="preserve">  </t>
    </r>
  </si>
  <si>
    <t>Pabalsti ārkārtas gadījumos, citi pabalsti un kompensācijas</t>
  </si>
  <si>
    <t>10.921.</t>
  </si>
  <si>
    <t>Braukšanas maksas atvieglojumi skolēniem sabiedriskajā transportā</t>
  </si>
  <si>
    <t>Pašvaldības nodeva par domes izstrādāto oficiālo dokumentu un apstiprinātu to kopiju saņemšanu</t>
  </si>
  <si>
    <t>Pārējās nodevas, ko uzliek pašvaldības</t>
  </si>
  <si>
    <t>Ieņēmumi no apbūvēta zemesgabala privatizācijas</t>
  </si>
  <si>
    <t>Ieņēmumi no neapbūvēta zemesgabala privatizācijas</t>
  </si>
  <si>
    <t>21.490.</t>
  </si>
  <si>
    <t>Pamatkapitāla palielināšana SIA "Medicīnas sabiedrība OPTIMA 1"</t>
  </si>
  <si>
    <t xml:space="preserve">JELGAVAS PILSĒTAS PAŠVALDĪBAS 2014.GADA BUDŽETS  </t>
  </si>
  <si>
    <t>2014.gada izdevumu plāns</t>
  </si>
  <si>
    <t>Finansēšana (naudas līdzekļu atlikums uz 31.12.2013.)</t>
  </si>
  <si>
    <t xml:space="preserve">         JELGAVAS PILSĒTAS PAŠVALDĪBAS 2014.GADA BUDŽETS  </t>
  </si>
  <si>
    <t>Pamatkapitāla palielināšana SIA "Jelgavas pilsētas slimnīca"</t>
  </si>
  <si>
    <t>09.101.14.</t>
  </si>
  <si>
    <t>04.521.</t>
  </si>
  <si>
    <t>04.522.</t>
  </si>
  <si>
    <t>04.916.</t>
  </si>
  <si>
    <t>Plāns 2014.gadam</t>
  </si>
  <si>
    <t>2014.gada plāns</t>
  </si>
  <si>
    <t xml:space="preserve"> 4. pielikums</t>
  </si>
  <si>
    <t xml:space="preserve">             JELGAVAS PILSĒTAS  PAŠVALDĪBAS  2014.GADA  SPECIĀLAIS  BUDŽETS</t>
  </si>
  <si>
    <t>Klasifikācijas kods</t>
  </si>
  <si>
    <t>SPECIĀLĀ BUDŽETA NOSAUKUMS</t>
  </si>
  <si>
    <t>2014. gada speciālā budžeta ieņēmumu plāns</t>
  </si>
  <si>
    <t>Finansēšana - līdzekļu atlikums uz 31.12.2013.</t>
  </si>
  <si>
    <t>2014.gada speciālā budžeta resursu plāns</t>
  </si>
  <si>
    <t xml:space="preserve">2014.gada speciālā budžeta izdevumu plāns </t>
  </si>
  <si>
    <t>I</t>
  </si>
  <si>
    <t xml:space="preserve">Dabas resursu nodoklis </t>
  </si>
  <si>
    <t>05.531.</t>
  </si>
  <si>
    <t>Dabas resursu nodoklis par dabas resursu ieguvi un vides piesārņojumu</t>
  </si>
  <si>
    <t>II</t>
  </si>
  <si>
    <t>Autoceļu (ielu) fonda līdzekļi</t>
  </si>
  <si>
    <t>Pašvaldību speciālajā budžetā saņemtie valsts budžeta transferti</t>
  </si>
  <si>
    <t>Mērķdotācija pašvaldību autoceļu (ielu) fondiem</t>
  </si>
  <si>
    <t>Mērķdotācija pašvaldībām  pasažieru regulārajiem pārvadājumiem ar autobusiem</t>
  </si>
  <si>
    <t>KOPĀ SPECIĀLO BUDŽETU LĪDZEKĻI (I+II+III)</t>
  </si>
  <si>
    <t xml:space="preserve"> P/ ie "Pašvaldības iestāžu centralizētā grāmatvedība" darbības nodrošināšana</t>
  </si>
  <si>
    <t>P/ie "Jelgavas pilsētas pašvaldības policija" darbības nodrošināšana</t>
  </si>
  <si>
    <t xml:space="preserve">ERAF projekts „Transporta infrastruktūras izbūve industriālo teritoriju attīstības nodrošināšanai Jelgavā” </t>
  </si>
  <si>
    <t xml:space="preserve">ERAF projekts "Satiksmes termināla apkalpošanai  nepieciešamās ielu infrastruktūras izbūve Jelgavā" </t>
  </si>
  <si>
    <t>P/ie Jelgavas reģionālais tūrisma centrs darbība nodrošināšana</t>
  </si>
  <si>
    <t>ERAF projekts "Pasta salas labiekārtošana un upju kā tūrisma un aktīvās atpūtas produkta veidošana Jelgavā"</t>
  </si>
  <si>
    <t>ERAF projekts„Jāņa kolektora rekonstrukcija plūdu draudu novēršanai un samazināšanai Jelgavā”</t>
  </si>
  <si>
    <t>05.601.</t>
  </si>
  <si>
    <t xml:space="preserve">Latvijas – Lietuvas pārrobežu sadarbības programmas projekts „Vides izpratnes veicināšana Jelgavas un Šauļu pilsētās” </t>
  </si>
  <si>
    <t>Projektu sagatavošana, izstrāde un teritoriju attīstība</t>
  </si>
  <si>
    <t>P/ie "Pilsētsaimniecība" darbības nodrošināšana</t>
  </si>
  <si>
    <t>P/ie "Sporta servisa centrs" darbības nodrošināšana</t>
  </si>
  <si>
    <t>P/ie  "Jelgavas zinātniskā bibliotēka" darbības nodrošināšana</t>
  </si>
  <si>
    <t>P/ie "Jelgavas Ģ.Eliasa Vēstures un mākslas muzejs" darbības nodrošināšana</t>
  </si>
  <si>
    <t>P/ie  "Kultūra" darbības nodrošināšana</t>
  </si>
  <si>
    <t>P/ie "Zemgales INFO" darbības nodrošināšana</t>
  </si>
  <si>
    <t>Dotācijas reliģiskajām un citām biedrībām, nodibinājumiem - finanšu nodaļa</t>
  </si>
  <si>
    <t>Pirmsskolas izglītības iestāde Skautu ielā 1a, Jelgavā</t>
  </si>
  <si>
    <t xml:space="preserve">Projekts„Jelgavas pilsētas pašvaldības pirmsskolas izglītības iestādes izveide Ganību ielā 66” </t>
  </si>
  <si>
    <t>09.107.</t>
  </si>
  <si>
    <t>Internātpamatskolas un šo skolu projektu īstenošana</t>
  </si>
  <si>
    <t>Jelgavas vispārizglītojošo skolu projektu īstenošana</t>
  </si>
  <si>
    <t>Jelgavas vispārizglītojošo skolu uzturēšana</t>
  </si>
  <si>
    <t>Jelgavas Amatu vidusskolas uzturēšana</t>
  </si>
  <si>
    <t>Jelgavas mākslas skolas uzturēšana</t>
  </si>
  <si>
    <t>Bērnu un jauniešu izglītības centra "Junda" projektu īstenošana</t>
  </si>
  <si>
    <t>P/ie "Zemgales reģionālais kompetenču attīstības centrs" darbības nodrošināšana</t>
  </si>
  <si>
    <t>P/ie "Zemgales reģionālais kompetenču attīstības centrs" projektu īstenošana</t>
  </si>
  <si>
    <t>P/ie "Jelgavas Izglītības pārvalde" darbības nodrošināšana</t>
  </si>
  <si>
    <t>09.812.3.</t>
  </si>
  <si>
    <t>P/ie "Jelgavas Izglītības pārvalde"  projektu īstenošana</t>
  </si>
  <si>
    <t>P/ie "Jelgavas Izglītības pārvalde" iekļaujošas izglītības atbalsta centrs</t>
  </si>
  <si>
    <t>P/ie Bāriņtiesa darbības nodrošināšana</t>
  </si>
  <si>
    <t>JSLP Naktspatversme</t>
  </si>
  <si>
    <t>P/ie "Jelgavas bērnu sociālās aprūpes centrs"darbības nodrošināšana</t>
  </si>
  <si>
    <t>P/ie "Jelgavas sociālo lietu pārvalde" darbības nodrošināšana</t>
  </si>
  <si>
    <t>EUR</t>
  </si>
  <si>
    <t>10.705.2.</t>
  </si>
  <si>
    <t xml:space="preserve">           Pamatbudžeta izdevumi                                                            </t>
  </si>
  <si>
    <t xml:space="preserve"> 5. 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</si>
  <si>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</si>
  <si>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</si>
  <si>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</si>
  <si>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</si>
  <si>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</si>
  <si>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</si>
  <si>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</si>
  <si>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Euro</t>
  </si>
  <si>
    <t>periods</t>
  </si>
  <si>
    <t>Euro</t>
  </si>
  <si>
    <t>2028-2033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</si>
  <si>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</si>
  <si>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</si>
  <si>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</si>
  <si>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</si>
  <si>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</si>
  <si>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</si>
  <si>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</si>
  <si>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</si>
  <si>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20.12.2005.</t>
  </si>
  <si>
    <t>A2/1/05/709</t>
  </si>
  <si>
    <t>20.12.2015.</t>
  </si>
  <si>
    <t>A2/1/05/710</t>
  </si>
  <si>
    <t>A2/1/05/711</t>
  </si>
  <si>
    <t>09.02.2006.</t>
  </si>
  <si>
    <t>A2/1/10/477</t>
  </si>
  <si>
    <t>20.01.2016.</t>
  </si>
  <si>
    <t>17.03.2006.</t>
  </si>
  <si>
    <t>A2/1/10/474</t>
  </si>
  <si>
    <t>A2/1/10/475</t>
  </si>
  <si>
    <t>Sv.Trīsvienības baznīcas torņa rekonstrukcijas projekts</t>
  </si>
  <si>
    <t>A2/1/10/476</t>
  </si>
  <si>
    <t>A2/1/10/487</t>
  </si>
  <si>
    <t>27.06.2006.</t>
  </si>
  <si>
    <t>A2/1/10/472</t>
  </si>
  <si>
    <t>A2/1/10/473</t>
  </si>
  <si>
    <t>Stāvlaukuma un ielu rekonstrukcija</t>
  </si>
  <si>
    <t>A2/1/10/471</t>
  </si>
  <si>
    <t>13.10.2006.</t>
  </si>
  <si>
    <t>A2/1/10/488</t>
  </si>
  <si>
    <t>PHARE projekts "Satiksmes drošība pie skolām"</t>
  </si>
  <si>
    <t>A2/1/10/485</t>
  </si>
  <si>
    <t>21.06.2007.-</t>
  </si>
  <si>
    <t>A2/1/07/301</t>
  </si>
  <si>
    <t>20.01.2017.</t>
  </si>
  <si>
    <t>A2/1/07/302</t>
  </si>
  <si>
    <t>Pamatkapitāla palielināšana SIA "ZOC"</t>
  </si>
  <si>
    <t>A2/1/07/303</t>
  </si>
  <si>
    <t>A2/1/07/304</t>
  </si>
  <si>
    <t>A2/1/07/305</t>
  </si>
  <si>
    <t>A2/1/07/306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</si>
  <si>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</si>
  <si>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</si>
  <si>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</si>
  <si>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</si>
  <si>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</si>
  <si>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</si>
  <si>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</si>
  <si>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A2/1/10/467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</si>
  <si>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</si>
  <si>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</si>
  <si>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</si>
  <si>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</si>
  <si>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</si>
  <si>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</si>
  <si>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</si>
  <si>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</si>
  <si>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</si>
  <si>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</si>
  <si>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A2/1/10/464</t>
  </si>
  <si>
    <t>20.08.2022.</t>
  </si>
  <si>
    <t>21.04.2009.-</t>
  </si>
  <si>
    <t>A2/1/11/36</t>
  </si>
  <si>
    <t>20.04.2023.</t>
  </si>
  <si>
    <t>Energoefektīva un saskaņota darbība pilsētas attīstībā</t>
  </si>
  <si>
    <t>A2/1/11/42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</si>
  <si>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</si>
  <si>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</si>
  <si>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</si>
  <si>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</si>
  <si>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</si>
  <si>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</si>
  <si>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</si>
  <si>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</si>
  <si>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</si>
  <si>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</si>
  <si>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</si>
  <si>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</si>
  <si>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</si>
  <si>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</si>
  <si>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</si>
  <si>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</si>
  <si>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</si>
  <si>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</si>
  <si>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</si>
  <si>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</si>
  <si>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</si>
  <si>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</si>
  <si>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20.05.2010-</t>
  </si>
  <si>
    <t>A2/1/10/334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</si>
  <si>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</si>
  <si>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</si>
  <si>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</si>
  <si>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</si>
  <si>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</si>
  <si>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</si>
  <si>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</si>
  <si>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</si>
  <si>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</si>
  <si>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</si>
  <si>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</si>
  <si>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</si>
  <si>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</si>
  <si>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</si>
  <si>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</si>
  <si>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</si>
  <si>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</si>
  <si>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</si>
  <si>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</si>
  <si>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</si>
  <si>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</si>
  <si>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</si>
  <si>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</si>
  <si>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</si>
  <si>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</si>
  <si>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</si>
  <si>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</si>
  <si>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</si>
  <si>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</si>
  <si>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</si>
  <si>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</si>
  <si>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</si>
  <si>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</si>
  <si>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</si>
  <si>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</si>
  <si>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</si>
  <si>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</si>
  <si>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</si>
  <si>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</si>
  <si>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</si>
  <si>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</si>
  <si>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</si>
  <si>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Radošo industriju attīstība Latvijas un Lietuvas pierobežas reģionā</t>
  </si>
  <si>
    <t>A2/1/11/205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</si>
  <si>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</si>
  <si>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</si>
  <si>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</si>
  <si>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</si>
  <si>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</si>
  <si>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</si>
  <si>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</si>
  <si>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</si>
  <si>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</si>
  <si>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</si>
  <si>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</si>
  <si>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</si>
  <si>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</si>
  <si>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16.11.2012. - 20.11.2026.</t>
  </si>
  <si>
    <t>A2/1/12/690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</si>
  <si>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</si>
  <si>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</si>
  <si>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</si>
  <si>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</si>
  <si>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</si>
  <si>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</si>
  <si>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</si>
  <si>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</si>
  <si>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</si>
  <si>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</si>
  <si>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</si>
  <si>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20.06.2012. - 20.06.2026.</t>
  </si>
  <si>
    <t>A2/1/12/267</t>
  </si>
  <si>
    <t>Lietuvas šosejas rekonstrukcija</t>
  </si>
  <si>
    <t>25.09.2012. - 20.09.2026.</t>
  </si>
  <si>
    <t>A2/1/12/532</t>
  </si>
  <si>
    <t>PII Skautu iela 1a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</si>
  <si>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</si>
  <si>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</si>
  <si>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</si>
  <si>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</si>
  <si>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</si>
  <si>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</si>
  <si>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</si>
  <si>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</si>
  <si>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</si>
  <si>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</si>
  <si>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</si>
  <si>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</si>
  <si>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</si>
  <si>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</si>
  <si>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>Projekts (plāns)**</t>
  </si>
  <si>
    <t xml:space="preserve">  Kopā pamatsummas                  </t>
  </si>
  <si>
    <t>LVL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</si>
  <si>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</si>
  <si>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</si>
  <si>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</si>
  <si>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</si>
  <si>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</si>
  <si>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A2/1/13/996</t>
  </si>
  <si>
    <t>27.11.2013.- 20.11.2033.</t>
  </si>
  <si>
    <t xml:space="preserve">                   INFORMĀCIJA PAR JELGAVAS PILSĒTAS PAŠVALDĪBAS ILGTERMIŅA SAISTĪBĀM  (EUR)</t>
  </si>
  <si>
    <t>Autobusu iegāde</t>
  </si>
  <si>
    <t>Projekts "Drošais ceļš uz skolu"</t>
  </si>
  <si>
    <t>P.O.Kalpaka, Svētes ielu remonts</t>
  </si>
  <si>
    <t>4.vsk piebūves projektēšana</t>
  </si>
  <si>
    <t>Skolu dabas zinātņu kabinetu renovācija</t>
  </si>
  <si>
    <t>Elektrotīklu pirkšana</t>
  </si>
  <si>
    <t>Slimnīcas operāciju bloka remonts</t>
  </si>
  <si>
    <t>ERAF projekta realizācija ar SAC "Jelgava"</t>
  </si>
  <si>
    <t>Peldu ielas izbūve</t>
  </si>
  <si>
    <t>Pašvaldību iestāžu ēku remonts</t>
  </si>
  <si>
    <t>Pamatkapitāla palielināšana SIA "JPSlimnīca", "JNMPS"</t>
  </si>
  <si>
    <t>Pilsētas ielu izbūve, renovācija un remonts</t>
  </si>
  <si>
    <t>Infrastruktūras objektu rekonstrukcija un izbūve</t>
  </si>
  <si>
    <t>ES fondu atbalstīto projektu priekšfinansējums un līdzfinansējums</t>
  </si>
  <si>
    <t>Energoefektivitātes paaugstināšana 4.vsk., 6.vsk, 4.psk, 1.intern.psk.</t>
  </si>
  <si>
    <t>Pilsētas ielu un infrastruktūras objektu renovācija</t>
  </si>
  <si>
    <t>Dzīvojamā fonda iegāde</t>
  </si>
  <si>
    <t>Kalnciema ceļa un Tērvetes ielas seguma atjaunošana</t>
  </si>
  <si>
    <t xml:space="preserve">Atraktīvu un pieejamu muzeju attīstība Zemgalē un Ziemeļlietuvā </t>
  </si>
  <si>
    <t>Pārrobežu sadarbības iniciatīva riska vadības sistēmas veidošana</t>
  </si>
  <si>
    <t>Satiksmes drošības uzlabošana Rūpniecības - Atmodas ielas posmā</t>
  </si>
  <si>
    <t>Sadarbība mācību programmu kvalitātes uzlabošana</t>
  </si>
  <si>
    <t>Meliorat. sist. rekonstrukc.cukura rūpn. skartajās terit. Jelgavā</t>
  </si>
  <si>
    <t>Mācību aprīkojuma modernizācija un infrastrukt. uzlab. Amatu vsk.</t>
  </si>
  <si>
    <t>Pasta salas labiekārtošana un upju kā tūrisma un aktīvās atpūtas produktu veidošana</t>
  </si>
  <si>
    <t>Hidrotehnisko būvju rekonstrukcija plūdu draudu risku novēršana</t>
  </si>
  <si>
    <t>Glābšanas komandas izveide plūdu situāciju novēršana</t>
  </si>
  <si>
    <t>iegāde</t>
  </si>
  <si>
    <t>Projekti 2014 (iekļauti budžetā)</t>
  </si>
  <si>
    <t>SAISTOŠAJIEM NOTEIKUMIEM Nr.14-3</t>
  </si>
  <si>
    <t>23.01.2014. lēmums Nr.1/18</t>
  </si>
  <si>
    <t xml:space="preserve">23.01.2014.lēmums Nr.1/18 </t>
  </si>
  <si>
    <t>23.01.2014.lēmums Nr.1/18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</si>
</sst>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\ _L_s_-;\-* #,##0\ _L_s_-;_-* &quot;-&quot;??\ _L_s_-;_-@_-"/>
    <numFmt numFmtId="176" formatCode="_-* #,##0.0\ _L_s_-;\-* #,##0.0\ _L_s_-;_-* &quot;-&quot;??\ _L_s_-;_-@_-"/>
    <numFmt numFmtId="177" formatCode="0.000%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_-;\-* #,##0_-;_-* &quot;-&quot;??_-;_-@_-"/>
    <numFmt numFmtId="187" formatCode="_-* #,##0.000\ &quot;Ls&quot;_-;\-* #,##0.000\ &quot;Ls&quot;_-;_-* &quot;-&quot;??\ &quot;Ls&quot;_-;_-@_-"/>
    <numFmt numFmtId="188" formatCode="_-* #,##0.0000\ &quot;Ls&quot;_-;\-* #,##0.0000\ &quot;Ls&quot;_-;_-* &quot;-&quot;??\ &quot;Ls&quot;_-;_-@_-"/>
    <numFmt numFmtId="189" formatCode="_-* #,##0.00000\ &quot;Ls&quot;_-;\-* #,##0.00000\ &quot;Ls&quot;_-;_-* &quot;-&quot;??\ &quot;Ls&quot;_-;_-@_-"/>
    <numFmt numFmtId="190" formatCode="_-* #,##0.000000\ &quot;Ls&quot;_-;\-* #,##0.000000\ &quot;Ls&quot;_-;_-* &quot;-&quot;??\ &quot;Ls&quot;_-;_-@_-"/>
    <numFmt numFmtId="191" formatCode="_-* #,##0.0000000\ &quot;Ls&quot;_-;\-* #,##0.0000000\ &quot;Ls&quot;_-;_-* &quot;-&quot;??\ &quot;Ls&quot;_-;_-@_-"/>
    <numFmt numFmtId="192" formatCode="_-* #,##0.000\ _L_s_-;\-* #,##0.000\ _L_s_-;_-* &quot;-&quot;??\ _L_s_-;_-@_-"/>
    <numFmt numFmtId="193" formatCode="_-* #,##0.0000\ _L_s_-;\-* #,##0.0000\ _L_s_-;_-* &quot;-&quot;??\ _L_s_-;_-@_-"/>
    <numFmt numFmtId="194" formatCode="[$-426]dddd\,\ yyyy&quot;. gada &quot;d\.\ mm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_-;\-* #,##0.0_-;_-* &quot;-&quot;??_-;_-@_-"/>
    <numFmt numFmtId="200" formatCode="_-* #,##0.0\ &quot;Ls&quot;_-;\-* #,##0.0\ &quot;Ls&quot;_-;_-* &quot;-&quot;??\ &quot;Ls&quot;_-;_-@_-"/>
    <numFmt numFmtId="201" formatCode="_-* #,##0\ &quot;Ls&quot;_-;\-* #,##0\ &quot;Ls&quot;_-;_-* &quot;-&quot;??\ &quot;Ls&quot;_-;_-@_-"/>
    <numFmt numFmtId="202" formatCode="[$€-2]\ #,##0.00_);[Red]\([$€-2]\ #,##0.00\)"/>
    <numFmt numFmtId="203" formatCode="0.000000000"/>
    <numFmt numFmtId="204" formatCode="_-* #,##0.000000_-;\-* #,##0.000000_-;_-* &quot;-&quot;??????_-;_-@_-"/>
    <numFmt numFmtId="205" formatCode="[$€-2]\ #,##0.00"/>
    <numFmt numFmtId="206" formatCode="[$€-2]\ #,##0.0"/>
    <numFmt numFmtId="207" formatCode="[$€-2]\ #,##0"/>
    <numFmt numFmtId="208" formatCode="[$€-2]\ #,##0.00;\-[$€-2]\ #,##0.00"/>
    <numFmt numFmtId="209" formatCode="mmm/yyyy"/>
    <numFmt numFmtId="210" formatCode="#,##0.0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i/>
      <sz val="11"/>
      <name val="Times New Roman"/>
      <family val="1"/>
    </font>
    <font>
      <i/>
      <sz val="11"/>
      <name val="Times New Roman Baltic"/>
      <family val="0"/>
    </font>
    <font>
      <b/>
      <sz val="11"/>
      <name val="Times New Roman Baltic"/>
      <family val="0"/>
    </font>
    <font>
      <sz val="10"/>
      <name val="Times New Roman Baltic"/>
      <family val="1"/>
    </font>
    <font>
      <b/>
      <sz val="11"/>
      <name val="Arial"/>
      <family val="2"/>
    </font>
    <font>
      <sz val="14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6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3" fontId="12" fillId="0" borderId="12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2" fillId="0" borderId="17" xfId="0" applyNumberFormat="1" applyFont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3" fontId="13" fillId="0" borderId="12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3" fontId="35" fillId="0" borderId="24" xfId="0" applyNumberFormat="1" applyFont="1" applyBorder="1" applyAlignment="1">
      <alignment horizontal="center"/>
    </xf>
    <xf numFmtId="3" fontId="35" fillId="0" borderId="2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 wrapText="1"/>
    </xf>
    <xf numFmtId="3" fontId="35" fillId="0" borderId="27" xfId="0" applyNumberFormat="1" applyFont="1" applyBorder="1" applyAlignment="1">
      <alignment horizontal="center"/>
    </xf>
    <xf numFmtId="3" fontId="35" fillId="0" borderId="27" xfId="0" applyNumberFormat="1" applyFont="1" applyFill="1" applyBorder="1" applyAlignment="1">
      <alignment horizontal="center"/>
    </xf>
    <xf numFmtId="3" fontId="35" fillId="0" borderId="28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right" wrapText="1"/>
    </xf>
    <xf numFmtId="49" fontId="14" fillId="0" borderId="11" xfId="0" applyNumberFormat="1" applyFont="1" applyBorder="1" applyAlignment="1">
      <alignment horizontal="right" wrapText="1"/>
    </xf>
    <xf numFmtId="0" fontId="12" fillId="0" borderId="29" xfId="0" applyFont="1" applyBorder="1" applyAlignment="1">
      <alignment vertical="center" wrapText="1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1" xfId="0" applyFont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39" fillId="0" borderId="18" xfId="0" applyNumberFormat="1" applyFont="1" applyFill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16" xfId="0" applyFont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 wrapText="1"/>
    </xf>
    <xf numFmtId="3" fontId="3" fillId="7" borderId="34" xfId="0" applyNumberFormat="1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wrapText="1"/>
    </xf>
    <xf numFmtId="3" fontId="5" fillId="7" borderId="28" xfId="0" applyNumberFormat="1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 wrapText="1"/>
    </xf>
    <xf numFmtId="3" fontId="5" fillId="7" borderId="37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wrapText="1"/>
    </xf>
    <xf numFmtId="3" fontId="5" fillId="7" borderId="25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 wrapText="1"/>
    </xf>
    <xf numFmtId="0" fontId="13" fillId="7" borderId="24" xfId="0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/>
    </xf>
    <xf numFmtId="0" fontId="3" fillId="7" borderId="24" xfId="0" applyFont="1" applyFill="1" applyBorder="1" applyAlignment="1">
      <alignment horizontal="center" wrapText="1"/>
    </xf>
    <xf numFmtId="3" fontId="3" fillId="7" borderId="25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/>
    </xf>
    <xf numFmtId="0" fontId="11" fillId="7" borderId="33" xfId="0" applyFont="1" applyFill="1" applyBorder="1" applyAlignment="1">
      <alignment horizontal="center" wrapText="1"/>
    </xf>
    <xf numFmtId="3" fontId="11" fillId="7" borderId="34" xfId="0" applyNumberFormat="1" applyFont="1" applyFill="1" applyBorder="1" applyAlignment="1">
      <alignment/>
    </xf>
    <xf numFmtId="0" fontId="13" fillId="11" borderId="32" xfId="0" applyFont="1" applyFill="1" applyBorder="1" applyAlignment="1">
      <alignment horizontal="center" wrapText="1"/>
    </xf>
    <xf numFmtId="0" fontId="13" fillId="11" borderId="33" xfId="0" applyFont="1" applyFill="1" applyBorder="1" applyAlignment="1">
      <alignment horizontal="center" wrapText="1"/>
    </xf>
    <xf numFmtId="0" fontId="13" fillId="11" borderId="34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wrapText="1"/>
    </xf>
    <xf numFmtId="0" fontId="13" fillId="7" borderId="39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wrapText="1"/>
    </xf>
    <xf numFmtId="0" fontId="13" fillId="7" borderId="10" xfId="0" applyFont="1" applyFill="1" applyBorder="1" applyAlignment="1">
      <alignment vertical="center" wrapText="1"/>
    </xf>
    <xf numFmtId="3" fontId="13" fillId="7" borderId="10" xfId="0" applyNumberFormat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3" fontId="13" fillId="7" borderId="33" xfId="0" applyNumberFormat="1" applyFont="1" applyFill="1" applyBorder="1" applyAlignment="1">
      <alignment horizontal="center"/>
    </xf>
    <xf numFmtId="3" fontId="13" fillId="7" borderId="34" xfId="0" applyNumberFormat="1" applyFont="1" applyFill="1" applyBorder="1" applyAlignment="1">
      <alignment horizontal="center"/>
    </xf>
    <xf numFmtId="0" fontId="12" fillId="7" borderId="32" xfId="0" applyFont="1" applyFill="1" applyBorder="1" applyAlignment="1">
      <alignment/>
    </xf>
    <xf numFmtId="0" fontId="13" fillId="7" borderId="3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 indent="2"/>
    </xf>
    <xf numFmtId="0" fontId="14" fillId="0" borderId="10" xfId="0" applyFont="1" applyBorder="1" applyAlignment="1">
      <alignment horizontal="left" wrapText="1" indent="2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 indent="2"/>
    </xf>
    <xf numFmtId="3" fontId="1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4" fillId="0" borderId="16" xfId="0" applyFont="1" applyBorder="1" applyAlignment="1">
      <alignment horizontal="right" wrapText="1"/>
    </xf>
    <xf numFmtId="0" fontId="5" fillId="0" borderId="16" xfId="0" applyFont="1" applyBorder="1" applyAlignment="1">
      <alignment/>
    </xf>
    <xf numFmtId="3" fontId="12" fillId="0" borderId="4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 indent="2"/>
    </xf>
    <xf numFmtId="3" fontId="1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11" borderId="30" xfId="0" applyFont="1" applyFill="1" applyBorder="1" applyAlignment="1">
      <alignment horizontal="center" wrapText="1"/>
    </xf>
    <xf numFmtId="0" fontId="13" fillId="11" borderId="41" xfId="0" applyFont="1" applyFill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/>
    </xf>
    <xf numFmtId="0" fontId="13" fillId="7" borderId="12" xfId="0" applyFont="1" applyFill="1" applyBorder="1" applyAlignment="1">
      <alignment vertical="center" wrapText="1"/>
    </xf>
    <xf numFmtId="3" fontId="13" fillId="7" borderId="12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13" fillId="7" borderId="32" xfId="0" applyFont="1" applyFill="1" applyBorder="1" applyAlignment="1">
      <alignment horizontal="center" wrapText="1"/>
    </xf>
    <xf numFmtId="0" fontId="5" fillId="7" borderId="33" xfId="0" applyFont="1" applyFill="1" applyBorder="1" applyAlignment="1">
      <alignment horizontal="center" wrapText="1"/>
    </xf>
    <xf numFmtId="0" fontId="5" fillId="7" borderId="34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0" fontId="5" fillId="0" borderId="42" xfId="0" applyFont="1" applyBorder="1" applyAlignment="1">
      <alignment horizontal="left" wrapText="1"/>
    </xf>
    <xf numFmtId="0" fontId="6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3" fontId="5" fillId="0" borderId="2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3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7" borderId="44" xfId="0" applyFont="1" applyFill="1" applyBorder="1" applyAlignment="1">
      <alignment horizontal="center"/>
    </xf>
    <xf numFmtId="0" fontId="11" fillId="7" borderId="38" xfId="0" applyFont="1" applyFill="1" applyBorder="1" applyAlignment="1">
      <alignment horizontal="center" wrapText="1"/>
    </xf>
    <xf numFmtId="3" fontId="11" fillId="7" borderId="38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5" fillId="7" borderId="33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49" fontId="14" fillId="0" borderId="10" xfId="0" applyNumberFormat="1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 indent="1"/>
    </xf>
    <xf numFmtId="49" fontId="14" fillId="0" borderId="11" xfId="0" applyNumberFormat="1" applyFont="1" applyFill="1" applyBorder="1" applyAlignment="1">
      <alignment horizontal="right" wrapText="1"/>
    </xf>
    <xf numFmtId="0" fontId="39" fillId="0" borderId="10" xfId="0" applyFont="1" applyBorder="1" applyAlignment="1">
      <alignment vertical="center" wrapText="1"/>
    </xf>
    <xf numFmtId="0" fontId="14" fillId="0" borderId="30" xfId="0" applyFont="1" applyBorder="1" applyAlignment="1">
      <alignment horizontal="left" vertical="center" wrapText="1" indent="1"/>
    </xf>
    <xf numFmtId="0" fontId="37" fillId="24" borderId="32" xfId="0" applyFont="1" applyFill="1" applyBorder="1" applyAlignment="1">
      <alignment/>
    </xf>
    <xf numFmtId="0" fontId="35" fillId="24" borderId="33" xfId="0" applyFont="1" applyFill="1" applyBorder="1" applyAlignment="1">
      <alignment horizontal="center" wrapText="1"/>
    </xf>
    <xf numFmtId="3" fontId="35" fillId="24" borderId="33" xfId="0" applyNumberFormat="1" applyFont="1" applyFill="1" applyBorder="1" applyAlignment="1">
      <alignment horizontal="center"/>
    </xf>
    <xf numFmtId="3" fontId="35" fillId="24" borderId="34" xfId="0" applyNumberFormat="1" applyFont="1" applyFill="1" applyBorder="1" applyAlignment="1">
      <alignment horizontal="center"/>
    </xf>
    <xf numFmtId="0" fontId="11" fillId="0" borderId="45" xfId="0" applyFont="1" applyBorder="1" applyAlignment="1">
      <alignment/>
    </xf>
    <xf numFmtId="0" fontId="7" fillId="0" borderId="45" xfId="0" applyFont="1" applyBorder="1" applyAlignment="1">
      <alignment horizontal="right"/>
    </xf>
    <xf numFmtId="0" fontId="0" fillId="0" borderId="0" xfId="60">
      <alignment/>
      <protection/>
    </xf>
    <xf numFmtId="0" fontId="2" fillId="0" borderId="0" xfId="60" applyFont="1" applyFill="1">
      <alignment/>
      <protection/>
    </xf>
    <xf numFmtId="0" fontId="0" fillId="0" borderId="0" xfId="60" applyAlignment="1">
      <alignment vertical="center"/>
      <protection/>
    </xf>
    <xf numFmtId="4" fontId="0" fillId="0" borderId="0" xfId="60" applyNumberFormat="1" applyAlignment="1">
      <alignment horizontal="center" vertical="center"/>
      <protection/>
    </xf>
    <xf numFmtId="0" fontId="0" fillId="0" borderId="0" xfId="60" applyFill="1" applyBorder="1">
      <alignment/>
      <protection/>
    </xf>
    <xf numFmtId="0" fontId="0" fillId="0" borderId="0" xfId="60" applyFill="1">
      <alignment/>
      <protection/>
    </xf>
    <xf numFmtId="0" fontId="45" fillId="0" borderId="0" xfId="60" applyFont="1">
      <alignment/>
      <protection/>
    </xf>
    <xf numFmtId="0" fontId="48" fillId="25" borderId="46" xfId="60" applyFont="1" applyFill="1" applyBorder="1" applyAlignment="1">
      <alignment horizontal="center" vertical="center"/>
      <protection/>
    </xf>
    <xf numFmtId="4" fontId="48" fillId="11" borderId="46" xfId="60" applyNumberFormat="1" applyFont="1" applyFill="1" applyBorder="1" applyAlignment="1">
      <alignment horizontal="center" vertical="center"/>
      <protection/>
    </xf>
    <xf numFmtId="0" fontId="48" fillId="11" borderId="46" xfId="60" applyFont="1" applyFill="1" applyBorder="1" applyAlignment="1">
      <alignment vertical="center"/>
      <protection/>
    </xf>
    <xf numFmtId="0" fontId="48" fillId="11" borderId="47" xfId="60" applyFont="1" applyFill="1" applyBorder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48" fillId="25" borderId="48" xfId="60" applyFont="1" applyFill="1" applyBorder="1" applyAlignment="1">
      <alignment horizontal="center" vertical="center"/>
      <protection/>
    </xf>
    <xf numFmtId="4" fontId="48" fillId="11" borderId="48" xfId="60" applyNumberFormat="1" applyFont="1" applyFill="1" applyBorder="1" applyAlignment="1">
      <alignment horizontal="center" vertical="center"/>
      <protection/>
    </xf>
    <xf numFmtId="0" fontId="48" fillId="11" borderId="49" xfId="60" applyFont="1" applyFill="1" applyBorder="1" applyAlignment="1">
      <alignment horizontal="center" vertical="center"/>
      <protection/>
    </xf>
    <xf numFmtId="0" fontId="45" fillId="0" borderId="0" xfId="60" applyFont="1" applyFill="1" applyBorder="1">
      <alignment/>
      <protection/>
    </xf>
    <xf numFmtId="0" fontId="45" fillId="0" borderId="46" xfId="60" applyFont="1" applyFill="1" applyBorder="1" applyAlignment="1">
      <alignment horizontal="center" wrapText="1"/>
      <protection/>
    </xf>
    <xf numFmtId="0" fontId="45" fillId="0" borderId="46" xfId="60" applyFont="1" applyFill="1" applyBorder="1" applyAlignment="1">
      <alignment horizontal="center"/>
      <protection/>
    </xf>
    <xf numFmtId="4" fontId="45" fillId="0" borderId="46" xfId="60" applyNumberFormat="1" applyFont="1" applyFill="1" applyBorder="1">
      <alignment/>
      <protection/>
    </xf>
    <xf numFmtId="0" fontId="45" fillId="0" borderId="46" xfId="60" applyFont="1" applyFill="1" applyBorder="1">
      <alignment/>
      <protection/>
    </xf>
    <xf numFmtId="0" fontId="45" fillId="0" borderId="50" xfId="60" applyFont="1" applyFill="1" applyBorder="1">
      <alignment/>
      <protection/>
    </xf>
    <xf numFmtId="4" fontId="45" fillId="0" borderId="47" xfId="60" applyNumberFormat="1" applyFont="1" applyFill="1" applyBorder="1">
      <alignment/>
      <protection/>
    </xf>
    <xf numFmtId="0" fontId="45" fillId="0" borderId="51" xfId="60" applyFont="1" applyFill="1" applyBorder="1" applyAlignment="1">
      <alignment horizontal="center" wrapText="1"/>
      <protection/>
    </xf>
    <xf numFmtId="0" fontId="45" fillId="0" borderId="51" xfId="60" applyFont="1" applyFill="1" applyBorder="1" applyAlignment="1">
      <alignment horizontal="center"/>
      <protection/>
    </xf>
    <xf numFmtId="10" fontId="45" fillId="0" borderId="51" xfId="60" applyNumberFormat="1" applyFont="1" applyFill="1" applyBorder="1" applyAlignment="1">
      <alignment horizontal="center"/>
      <protection/>
    </xf>
    <xf numFmtId="3" fontId="49" fillId="0" borderId="51" xfId="60" applyNumberFormat="1" applyFont="1" applyFill="1" applyBorder="1">
      <alignment/>
      <protection/>
    </xf>
    <xf numFmtId="0" fontId="45" fillId="0" borderId="51" xfId="60" applyFont="1" applyFill="1" applyBorder="1">
      <alignment/>
      <protection/>
    </xf>
    <xf numFmtId="0" fontId="45" fillId="0" borderId="52" xfId="60" applyFont="1" applyFill="1" applyBorder="1">
      <alignment/>
      <protection/>
    </xf>
    <xf numFmtId="4" fontId="45" fillId="0" borderId="53" xfId="60" applyNumberFormat="1" applyFont="1" applyFill="1" applyBorder="1">
      <alignment/>
      <protection/>
    </xf>
    <xf numFmtId="0" fontId="45" fillId="0" borderId="46" xfId="60" applyFont="1" applyFill="1" applyBorder="1" applyAlignment="1">
      <alignment horizontal="center" vertical="center" wrapText="1"/>
      <protection/>
    </xf>
    <xf numFmtId="0" fontId="49" fillId="0" borderId="46" xfId="60" applyFont="1" applyFill="1" applyBorder="1">
      <alignment/>
      <protection/>
    </xf>
    <xf numFmtId="0" fontId="45" fillId="0" borderId="51" xfId="60" applyFont="1" applyFill="1" applyBorder="1" applyAlignment="1">
      <alignment horizontal="center" vertical="center" wrapText="1"/>
      <protection/>
    </xf>
    <xf numFmtId="0" fontId="49" fillId="0" borderId="51" xfId="60" applyFont="1" applyFill="1" applyBorder="1">
      <alignment/>
      <protection/>
    </xf>
    <xf numFmtId="14" fontId="45" fillId="0" borderId="46" xfId="60" applyNumberFormat="1" applyFont="1" applyFill="1" applyBorder="1" applyAlignment="1">
      <alignment horizontal="center"/>
      <protection/>
    </xf>
    <xf numFmtId="14" fontId="45" fillId="0" borderId="51" xfId="60" applyNumberFormat="1" applyFont="1" applyFill="1" applyBorder="1" applyAlignment="1">
      <alignment horizontal="center"/>
      <protection/>
    </xf>
    <xf numFmtId="0" fontId="49" fillId="0" borderId="52" xfId="60" applyFont="1" applyFill="1" applyBorder="1">
      <alignment/>
      <protection/>
    </xf>
    <xf numFmtId="4" fontId="45" fillId="0" borderId="50" xfId="60" applyNumberFormat="1" applyFont="1" applyFill="1" applyBorder="1">
      <alignment/>
      <protection/>
    </xf>
    <xf numFmtId="4" fontId="49" fillId="0" borderId="51" xfId="60" applyNumberFormat="1" applyFont="1" applyFill="1" applyBorder="1">
      <alignment/>
      <protection/>
    </xf>
    <xf numFmtId="4" fontId="45" fillId="0" borderId="51" xfId="60" applyNumberFormat="1" applyFont="1" applyFill="1" applyBorder="1">
      <alignment/>
      <protection/>
    </xf>
    <xf numFmtId="4" fontId="45" fillId="0" borderId="52" xfId="60" applyNumberFormat="1" applyFont="1" applyFill="1" applyBorder="1">
      <alignment/>
      <protection/>
    </xf>
    <xf numFmtId="3" fontId="49" fillId="0" borderId="52" xfId="60" applyNumberFormat="1" applyFont="1" applyFill="1" applyBorder="1">
      <alignment/>
      <protection/>
    </xf>
    <xf numFmtId="4" fontId="49" fillId="0" borderId="52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4" fontId="49" fillId="0" borderId="46" xfId="60" applyNumberFormat="1" applyFont="1" applyFill="1" applyBorder="1">
      <alignment/>
      <protection/>
    </xf>
    <xf numFmtId="4" fontId="49" fillId="0" borderId="50" xfId="60" applyNumberFormat="1" applyFont="1" applyFill="1" applyBorder="1">
      <alignment/>
      <protection/>
    </xf>
    <xf numFmtId="10" fontId="45" fillId="0" borderId="46" xfId="60" applyNumberFormat="1" applyFont="1" applyFill="1" applyBorder="1" applyAlignment="1">
      <alignment horizontal="center"/>
      <protection/>
    </xf>
    <xf numFmtId="0" fontId="45" fillId="0" borderId="54" xfId="60" applyFont="1" applyFill="1" applyBorder="1" applyAlignment="1">
      <alignment/>
      <protection/>
    </xf>
    <xf numFmtId="0" fontId="49" fillId="0" borderId="50" xfId="60" applyFont="1" applyFill="1" applyBorder="1">
      <alignment/>
      <protection/>
    </xf>
    <xf numFmtId="0" fontId="45" fillId="22" borderId="55" xfId="60" applyFont="1" applyFill="1" applyBorder="1" applyAlignment="1">
      <alignment/>
      <protection/>
    </xf>
    <xf numFmtId="175" fontId="51" fillId="22" borderId="56" xfId="60" applyNumberFormat="1" applyFont="1" applyFill="1" applyBorder="1" applyAlignment="1">
      <alignment horizontal="center"/>
      <protection/>
    </xf>
    <xf numFmtId="4" fontId="51" fillId="22" borderId="56" xfId="60" applyNumberFormat="1" applyFont="1" applyFill="1" applyBorder="1" applyAlignment="1">
      <alignment horizontal="right"/>
      <protection/>
    </xf>
    <xf numFmtId="0" fontId="45" fillId="22" borderId="57" xfId="60" applyFont="1" applyFill="1" applyBorder="1" applyAlignment="1">
      <alignment horizontal="center"/>
      <protection/>
    </xf>
    <xf numFmtId="0" fontId="50" fillId="22" borderId="58" xfId="60" applyFont="1" applyFill="1" applyBorder="1" applyAlignment="1">
      <alignment horizontal="center"/>
      <protection/>
    </xf>
    <xf numFmtId="175" fontId="51" fillId="22" borderId="58" xfId="60" applyNumberFormat="1" applyFont="1" applyFill="1" applyBorder="1" applyAlignment="1">
      <alignment horizontal="right"/>
      <protection/>
    </xf>
    <xf numFmtId="0" fontId="51" fillId="22" borderId="54" xfId="60" applyFont="1" applyFill="1" applyBorder="1" applyAlignment="1">
      <alignment horizontal="center"/>
      <protection/>
    </xf>
    <xf numFmtId="0" fontId="51" fillId="22" borderId="59" xfId="60" applyFont="1" applyFill="1" applyBorder="1" applyAlignment="1">
      <alignment horizontal="center"/>
      <protection/>
    </xf>
    <xf numFmtId="0" fontId="2" fillId="26" borderId="60" xfId="60" applyFont="1" applyFill="1" applyBorder="1" applyAlignment="1">
      <alignment/>
      <protection/>
    </xf>
    <xf numFmtId="4" fontId="50" fillId="26" borderId="61" xfId="60" applyNumberFormat="1" applyFont="1" applyFill="1" applyBorder="1" applyAlignment="1">
      <alignment horizontal="center"/>
      <protection/>
    </xf>
    <xf numFmtId="3" fontId="50" fillId="26" borderId="62" xfId="60" applyNumberFormat="1" applyFont="1" applyFill="1" applyBorder="1" applyAlignment="1">
      <alignment/>
      <protection/>
    </xf>
    <xf numFmtId="0" fontId="50" fillId="22" borderId="63" xfId="60" applyFont="1" applyFill="1" applyBorder="1" applyAlignment="1">
      <alignment horizontal="center"/>
      <protection/>
    </xf>
    <xf numFmtId="10" fontId="46" fillId="22" borderId="63" xfId="65" applyNumberFormat="1" applyFont="1" applyFill="1" applyBorder="1" applyAlignment="1">
      <alignment/>
    </xf>
    <xf numFmtId="0" fontId="4" fillId="0" borderId="0" xfId="60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52" fillId="0" borderId="0" xfId="60" applyFont="1">
      <alignment/>
      <protection/>
    </xf>
    <xf numFmtId="175" fontId="53" fillId="0" borderId="0" xfId="60" applyNumberFormat="1" applyFont="1">
      <alignment/>
      <protection/>
    </xf>
    <xf numFmtId="0" fontId="0" fillId="0" borderId="0" xfId="60" applyFont="1" applyBorder="1">
      <alignment/>
      <protection/>
    </xf>
    <xf numFmtId="4" fontId="0" fillId="0" borderId="0" xfId="60" applyNumberFormat="1" applyFont="1" applyBorder="1" applyAlignment="1">
      <alignment horizontal="center" vertical="center"/>
      <protection/>
    </xf>
    <xf numFmtId="0" fontId="0" fillId="0" borderId="0" xfId="60" applyBorder="1">
      <alignment/>
      <protection/>
    </xf>
    <xf numFmtId="4" fontId="55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4" fontId="0" fillId="0" borderId="0" xfId="60" applyNumberFormat="1" applyFont="1" applyAlignment="1">
      <alignment horizontal="center" vertical="center"/>
      <protection/>
    </xf>
    <xf numFmtId="3" fontId="51" fillId="22" borderId="59" xfId="60" applyNumberFormat="1" applyFont="1" applyFill="1" applyBorder="1">
      <alignment/>
      <protection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4" fontId="48" fillId="22" borderId="64" xfId="60" applyNumberFormat="1" applyFont="1" applyFill="1" applyBorder="1" applyAlignment="1">
      <alignment horizontal="right"/>
      <protection/>
    </xf>
    <xf numFmtId="4" fontId="46" fillId="22" borderId="65" xfId="65" applyNumberFormat="1" applyFont="1" applyFill="1" applyBorder="1" applyAlignment="1">
      <alignment horizontal="right"/>
    </xf>
    <xf numFmtId="3" fontId="48" fillId="22" borderId="66" xfId="60" applyNumberFormat="1" applyFont="1" applyFill="1" applyBorder="1" applyAlignment="1">
      <alignment horizontal="right"/>
      <protection/>
    </xf>
    <xf numFmtId="3" fontId="51" fillId="22" borderId="67" xfId="60" applyNumberFormat="1" applyFont="1" applyFill="1" applyBorder="1" applyAlignment="1">
      <alignment horizontal="right"/>
      <protection/>
    </xf>
    <xf numFmtId="4" fontId="0" fillId="0" borderId="0" xfId="60" applyNumberFormat="1">
      <alignment/>
      <protection/>
    </xf>
    <xf numFmtId="0" fontId="1" fillId="0" borderId="42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3" fontId="1" fillId="0" borderId="31" xfId="0" applyNumberFormat="1" applyFont="1" applyFill="1" applyBorder="1" applyAlignment="1">
      <alignment horizontal="center"/>
    </xf>
    <xf numFmtId="0" fontId="13" fillId="7" borderId="14" xfId="0" applyFont="1" applyFill="1" applyBorder="1" applyAlignment="1">
      <alignment wrapText="1"/>
    </xf>
    <xf numFmtId="3" fontId="13" fillId="7" borderId="17" xfId="0" applyNumberFormat="1" applyFont="1" applyFill="1" applyBorder="1" applyAlignment="1">
      <alignment horizontal="center"/>
    </xf>
    <xf numFmtId="3" fontId="11" fillId="7" borderId="68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7" borderId="69" xfId="0" applyFont="1" applyFill="1" applyBorder="1" applyAlignment="1">
      <alignment horizontal="center"/>
    </xf>
    <xf numFmtId="0" fontId="13" fillId="7" borderId="70" xfId="0" applyFont="1" applyFill="1" applyBorder="1" applyAlignment="1">
      <alignment horizontal="center"/>
    </xf>
    <xf numFmtId="0" fontId="13" fillId="7" borderId="71" xfId="0" applyFont="1" applyFill="1" applyBorder="1" applyAlignment="1">
      <alignment horizontal="center"/>
    </xf>
    <xf numFmtId="0" fontId="13" fillId="7" borderId="72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horizontal="center" wrapText="1"/>
    </xf>
    <xf numFmtId="0" fontId="13" fillId="7" borderId="73" xfId="0" applyFont="1" applyFill="1" applyBorder="1" applyAlignment="1">
      <alignment horizontal="center" wrapText="1"/>
    </xf>
    <xf numFmtId="0" fontId="13" fillId="7" borderId="4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11" borderId="69" xfId="0" applyFont="1" applyFill="1" applyBorder="1" applyAlignment="1">
      <alignment horizontal="center"/>
    </xf>
    <xf numFmtId="0" fontId="43" fillId="11" borderId="70" xfId="0" applyFont="1" applyFill="1" applyBorder="1" applyAlignment="1">
      <alignment horizontal="center"/>
    </xf>
    <xf numFmtId="0" fontId="43" fillId="11" borderId="71" xfId="0" applyFont="1" applyFill="1" applyBorder="1" applyAlignment="1">
      <alignment horizontal="center"/>
    </xf>
    <xf numFmtId="0" fontId="13" fillId="11" borderId="73" xfId="0" applyFont="1" applyFill="1" applyBorder="1" applyAlignment="1">
      <alignment horizontal="center" wrapText="1"/>
    </xf>
    <xf numFmtId="0" fontId="43" fillId="11" borderId="42" xfId="0" applyFont="1" applyFill="1" applyBorder="1" applyAlignment="1">
      <alignment/>
    </xf>
    <xf numFmtId="0" fontId="13" fillId="11" borderId="72" xfId="0" applyFont="1" applyFill="1" applyBorder="1" applyAlignment="1">
      <alignment horizontal="center" vertical="center" wrapText="1"/>
    </xf>
    <xf numFmtId="0" fontId="43" fillId="11" borderId="40" xfId="0" applyFont="1" applyFill="1" applyBorder="1" applyAlignment="1">
      <alignment horizontal="center" vertical="center" wrapText="1"/>
    </xf>
    <xf numFmtId="0" fontId="13" fillId="11" borderId="72" xfId="0" applyFont="1" applyFill="1" applyBorder="1" applyAlignment="1">
      <alignment horizontal="center" wrapText="1"/>
    </xf>
    <xf numFmtId="0" fontId="43" fillId="11" borderId="40" xfId="0" applyFont="1" applyFill="1" applyBorder="1" applyAlignment="1">
      <alignment/>
    </xf>
    <xf numFmtId="0" fontId="5" fillId="0" borderId="0" xfId="60" applyFont="1" applyBorder="1" applyAlignment="1">
      <alignment horizontal="center"/>
      <protection/>
    </xf>
    <xf numFmtId="0" fontId="48" fillId="11" borderId="74" xfId="60" applyFont="1" applyFill="1" applyBorder="1" applyAlignment="1">
      <alignment horizontal="center" vertical="center" wrapText="1"/>
      <protection/>
    </xf>
    <xf numFmtId="0" fontId="48" fillId="11" borderId="75" xfId="60" applyFont="1" applyFill="1" applyBorder="1" applyAlignment="1">
      <alignment horizontal="center" vertical="center" wrapText="1"/>
      <protection/>
    </xf>
    <xf numFmtId="0" fontId="48" fillId="11" borderId="46" xfId="60" applyFont="1" applyFill="1" applyBorder="1" applyAlignment="1">
      <alignment horizontal="center" vertical="center" wrapText="1"/>
      <protection/>
    </xf>
    <xf numFmtId="0" fontId="48" fillId="11" borderId="48" xfId="60" applyFont="1" applyFill="1" applyBorder="1" applyAlignment="1">
      <alignment horizontal="center" vertical="center" wrapText="1"/>
      <protection/>
    </xf>
    <xf numFmtId="0" fontId="48" fillId="25" borderId="46" xfId="60" applyFont="1" applyFill="1" applyBorder="1" applyAlignment="1">
      <alignment horizontal="center" vertical="center"/>
      <protection/>
    </xf>
    <xf numFmtId="0" fontId="48" fillId="25" borderId="48" xfId="60" applyFont="1" applyFill="1" applyBorder="1" applyAlignment="1">
      <alignment horizontal="center" vertical="center"/>
      <protection/>
    </xf>
    <xf numFmtId="0" fontId="45" fillId="0" borderId="74" xfId="60" applyFont="1" applyFill="1" applyBorder="1" applyAlignment="1">
      <alignment/>
      <protection/>
    </xf>
    <xf numFmtId="0" fontId="45" fillId="0" borderId="76" xfId="60" applyFont="1" applyFill="1" applyBorder="1" applyAlignment="1">
      <alignment/>
      <protection/>
    </xf>
    <xf numFmtId="0" fontId="45" fillId="0" borderId="46" xfId="60" applyFont="1" applyFill="1" applyBorder="1" applyAlignment="1">
      <alignment horizontal="center" vertical="center" wrapText="1"/>
      <protection/>
    </xf>
    <xf numFmtId="0" fontId="45" fillId="0" borderId="51" xfId="60" applyFont="1" applyFill="1" applyBorder="1" applyAlignment="1">
      <alignment horizontal="center" vertical="center" wrapText="1"/>
      <protection/>
    </xf>
    <xf numFmtId="4" fontId="45" fillId="0" borderId="77" xfId="45" applyNumberFormat="1" applyFont="1" applyFill="1" applyBorder="1" applyAlignment="1">
      <alignment horizontal="center" vertical="center" wrapText="1"/>
    </xf>
    <xf numFmtId="4" fontId="45" fillId="0" borderId="78" xfId="45" applyNumberFormat="1" applyFont="1" applyFill="1" applyBorder="1" applyAlignment="1">
      <alignment horizontal="center" vertical="center" wrapText="1"/>
    </xf>
    <xf numFmtId="0" fontId="45" fillId="0" borderId="46" xfId="60" applyFont="1" applyFill="1" applyBorder="1" applyAlignment="1">
      <alignment horizontal="center" vertical="center"/>
      <protection/>
    </xf>
    <xf numFmtId="0" fontId="45" fillId="0" borderId="51" xfId="60" applyFont="1" applyFill="1" applyBorder="1" applyAlignment="1">
      <alignment horizontal="center" vertical="center"/>
      <protection/>
    </xf>
    <xf numFmtId="4" fontId="45" fillId="0" borderId="46" xfId="45" applyNumberFormat="1" applyFont="1" applyFill="1" applyBorder="1" applyAlignment="1">
      <alignment horizontal="center" vertical="center"/>
    </xf>
    <xf numFmtId="4" fontId="45" fillId="0" borderId="51" xfId="45" applyNumberFormat="1" applyFont="1" applyFill="1" applyBorder="1" applyAlignment="1">
      <alignment horizontal="center" vertical="center"/>
    </xf>
    <xf numFmtId="4" fontId="45" fillId="0" borderId="77" xfId="60" applyNumberFormat="1" applyFont="1" applyFill="1" applyBorder="1" applyAlignment="1">
      <alignment horizontal="center" vertical="center"/>
      <protection/>
    </xf>
    <xf numFmtId="4" fontId="45" fillId="0" borderId="78" xfId="60" applyNumberFormat="1" applyFont="1" applyFill="1" applyBorder="1" applyAlignment="1">
      <alignment horizontal="center" vertical="center"/>
      <protection/>
    </xf>
    <xf numFmtId="4" fontId="45" fillId="0" borderId="46" xfId="60" applyNumberFormat="1" applyFont="1" applyFill="1" applyBorder="1" applyAlignment="1">
      <alignment horizontal="center" vertical="center"/>
      <protection/>
    </xf>
    <xf numFmtId="4" fontId="45" fillId="0" borderId="51" xfId="60" applyNumberFormat="1" applyFont="1" applyFill="1" applyBorder="1" applyAlignment="1">
      <alignment horizontal="center" vertical="center"/>
      <protection/>
    </xf>
    <xf numFmtId="4" fontId="45" fillId="0" borderId="77" xfId="45" applyNumberFormat="1" applyFont="1" applyFill="1" applyBorder="1" applyAlignment="1">
      <alignment horizontal="center" vertical="center"/>
    </xf>
    <xf numFmtId="4" fontId="45" fillId="0" borderId="78" xfId="45" applyNumberFormat="1" applyFont="1" applyFill="1" applyBorder="1" applyAlignment="1">
      <alignment horizontal="center" vertical="center"/>
    </xf>
    <xf numFmtId="0" fontId="0" fillId="0" borderId="51" xfId="60" applyFill="1" applyBorder="1" applyAlignment="1">
      <alignment horizontal="center" vertical="center" wrapText="1"/>
      <protection/>
    </xf>
    <xf numFmtId="0" fontId="45" fillId="0" borderId="46" xfId="60" applyFont="1" applyFill="1" applyBorder="1" applyAlignment="1">
      <alignment horizontal="center" wrapText="1"/>
      <protection/>
    </xf>
    <xf numFmtId="0" fontId="45" fillId="0" borderId="51" xfId="60" applyFont="1" applyFill="1" applyBorder="1" applyAlignment="1">
      <alignment horizontal="center" wrapText="1"/>
      <protection/>
    </xf>
    <xf numFmtId="0" fontId="45" fillId="0" borderId="77" xfId="60" applyFont="1" applyFill="1" applyBorder="1" applyAlignment="1">
      <alignment horizontal="center" vertical="center" wrapText="1"/>
      <protection/>
    </xf>
    <xf numFmtId="0" fontId="45" fillId="0" borderId="78" xfId="60" applyFont="1" applyFill="1" applyBorder="1" applyAlignment="1">
      <alignment horizontal="center" vertical="center" wrapText="1"/>
      <protection/>
    </xf>
    <xf numFmtId="0" fontId="45" fillId="0" borderId="77" xfId="60" applyFont="1" applyFill="1" applyBorder="1" applyAlignment="1">
      <alignment horizontal="center" wrapText="1"/>
      <protection/>
    </xf>
    <xf numFmtId="0" fontId="45" fillId="0" borderId="78" xfId="60" applyFont="1" applyFill="1" applyBorder="1" applyAlignment="1">
      <alignment horizontal="center" wrapText="1"/>
      <protection/>
    </xf>
    <xf numFmtId="0" fontId="50" fillId="22" borderId="56" xfId="60" applyFont="1" applyFill="1" applyBorder="1" applyAlignment="1">
      <alignment horizontal="left"/>
      <protection/>
    </xf>
    <xf numFmtId="0" fontId="50" fillId="22" borderId="79" xfId="60" applyFont="1" applyFill="1" applyBorder="1" applyAlignment="1">
      <alignment horizontal="left"/>
      <protection/>
    </xf>
    <xf numFmtId="0" fontId="50" fillId="22" borderId="80" xfId="60" applyFont="1" applyFill="1" applyBorder="1" applyAlignment="1">
      <alignment horizontal="left"/>
      <protection/>
    </xf>
    <xf numFmtId="175" fontId="50" fillId="22" borderId="58" xfId="60" applyNumberFormat="1" applyFont="1" applyFill="1" applyBorder="1" applyAlignment="1">
      <alignment horizontal="left"/>
      <protection/>
    </xf>
    <xf numFmtId="175" fontId="51" fillId="22" borderId="59" xfId="60" applyNumberFormat="1" applyFont="1" applyFill="1" applyBorder="1" applyAlignment="1">
      <alignment horizontal="left"/>
      <protection/>
    </xf>
    <xf numFmtId="0" fontId="51" fillId="22" borderId="59" xfId="60" applyFont="1" applyFill="1" applyBorder="1" applyAlignment="1">
      <alignment horizontal="left"/>
      <protection/>
    </xf>
    <xf numFmtId="0" fontId="50" fillId="26" borderId="81" xfId="60" applyFont="1" applyFill="1" applyBorder="1" applyAlignment="1">
      <alignment horizontal="left"/>
      <protection/>
    </xf>
    <xf numFmtId="0" fontId="50" fillId="26" borderId="61" xfId="60" applyFont="1" applyFill="1" applyBorder="1" applyAlignment="1">
      <alignment horizontal="left"/>
      <protection/>
    </xf>
    <xf numFmtId="0" fontId="52" fillId="0" borderId="0" xfId="60" applyFont="1" applyFill="1" applyBorder="1" applyAlignment="1">
      <alignment horizontal="left"/>
      <protection/>
    </xf>
    <xf numFmtId="0" fontId="53" fillId="0" borderId="0" xfId="60" applyFont="1" applyBorder="1" applyAlignment="1">
      <alignment horizontal="left" vertical="center" wrapText="1"/>
      <protection/>
    </xf>
    <xf numFmtId="0" fontId="54" fillId="0" borderId="0" xfId="60" applyFont="1" applyFill="1" applyBorder="1" applyAlignment="1">
      <alignment horizontal="right"/>
      <protection/>
    </xf>
    <xf numFmtId="0" fontId="53" fillId="0" borderId="0" xfId="60" applyFont="1" applyFill="1" applyBorder="1" applyAlignment="1">
      <alignment horizontal="left" vertical="center"/>
      <protection/>
    </xf>
    <xf numFmtId="0" fontId="53" fillId="0" borderId="0" xfId="60" applyFont="1" applyFill="1" applyBorder="1" applyAlignment="1">
      <alignment horizontal="left" wrapText="1"/>
      <protection/>
    </xf>
    <xf numFmtId="0" fontId="53" fillId="0" borderId="0" xfId="60" applyFont="1" applyFill="1" applyBorder="1" applyAlignment="1">
      <alignment horizontal="left" vertical="center" wrapText="1"/>
      <protection/>
    </xf>
    <xf numFmtId="0" fontId="53" fillId="0" borderId="0" xfId="60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dola.ozolina\AppData\Local\Microsoft\Windows\Temporary%20Internet%20Files\Content.Outlook\4TJIV087\Budzets%202014_eur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ielikums_ 2014"/>
      <sheetName val="2.pielikums_2014"/>
      <sheetName val="3.pielikums_2014"/>
      <sheetName val="4.pielikums_2014"/>
      <sheetName val="5.pielikums_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:C71"/>
    </sheetView>
  </sheetViews>
  <sheetFormatPr defaultColWidth="9.140625" defaultRowHeight="12.75"/>
  <cols>
    <col min="1" max="1" width="12.140625" style="1" customWidth="1"/>
    <col min="2" max="2" width="69.7109375" style="1" customWidth="1"/>
    <col min="3" max="4" width="17.28125" style="1" customWidth="1"/>
    <col min="5" max="5" width="9.140625" style="1" customWidth="1"/>
    <col min="6" max="6" width="42.421875" style="1" customWidth="1"/>
    <col min="7" max="16384" width="9.140625" style="1" customWidth="1"/>
  </cols>
  <sheetData>
    <row r="1" spans="1:4" ht="15.75">
      <c r="A1" s="64"/>
      <c r="B1" s="64"/>
      <c r="C1" s="210" t="s">
        <v>87</v>
      </c>
      <c r="D1" s="13"/>
    </row>
    <row r="2" spans="1:4" ht="15.75">
      <c r="A2" s="64"/>
      <c r="B2" s="64"/>
      <c r="C2" s="210" t="s">
        <v>689</v>
      </c>
      <c r="D2" s="13"/>
    </row>
    <row r="3" spans="1:4" ht="15.75">
      <c r="A3" s="64"/>
      <c r="B3" s="64"/>
      <c r="C3" s="210" t="s">
        <v>690</v>
      </c>
      <c r="D3" s="13"/>
    </row>
    <row r="4" spans="1:4" ht="15.75">
      <c r="A4" s="64"/>
      <c r="B4" s="64"/>
      <c r="C4" s="158"/>
      <c r="D4" s="13"/>
    </row>
    <row r="5" spans="1:5" ht="20.25">
      <c r="A5" s="371" t="s">
        <v>393</v>
      </c>
      <c r="B5" s="371"/>
      <c r="C5" s="371"/>
      <c r="D5" s="107"/>
      <c r="E5" s="34"/>
    </row>
    <row r="6" spans="1:3" ht="18.75">
      <c r="A6" s="64"/>
      <c r="B6" s="149" t="s">
        <v>21</v>
      </c>
      <c r="C6" s="64"/>
    </row>
    <row r="7" spans="1:5" ht="16.5" thickBot="1">
      <c r="A7" s="64"/>
      <c r="B7" s="148"/>
      <c r="C7" s="159" t="s">
        <v>455</v>
      </c>
      <c r="D7" s="150"/>
      <c r="E7" s="151"/>
    </row>
    <row r="8" spans="1:5" s="67" customFormat="1" ht="30" thickBot="1">
      <c r="A8" s="181" t="s">
        <v>248</v>
      </c>
      <c r="B8" s="182" t="s">
        <v>141</v>
      </c>
      <c r="C8" s="183" t="s">
        <v>400</v>
      </c>
      <c r="D8" s="152"/>
      <c r="E8" s="153"/>
    </row>
    <row r="9" spans="1:5" ht="19.5" thickBot="1">
      <c r="A9" s="160"/>
      <c r="B9" s="161" t="s">
        <v>191</v>
      </c>
      <c r="C9" s="162">
        <f>C10+C19+C49+C57</f>
        <v>46418808</v>
      </c>
      <c r="D9" s="154"/>
      <c r="E9" s="151"/>
    </row>
    <row r="10" spans="1:5" ht="16.5" thickBot="1">
      <c r="A10" s="169"/>
      <c r="B10" s="170" t="s">
        <v>187</v>
      </c>
      <c r="C10" s="171">
        <f>C11+C14+C18</f>
        <v>37169061</v>
      </c>
      <c r="D10" s="115"/>
      <c r="E10" s="151"/>
    </row>
    <row r="11" spans="1:5" ht="16.5" thickTop="1">
      <c r="A11" s="53" t="s">
        <v>42</v>
      </c>
      <c r="B11" s="15" t="s">
        <v>22</v>
      </c>
      <c r="C11" s="36">
        <f>C12+C13</f>
        <v>33375884</v>
      </c>
      <c r="D11" s="115"/>
      <c r="E11" s="151"/>
    </row>
    <row r="12" spans="1:5" ht="31.5">
      <c r="A12" s="54" t="s">
        <v>222</v>
      </c>
      <c r="B12" s="196" t="s">
        <v>176</v>
      </c>
      <c r="C12" s="35">
        <v>183741</v>
      </c>
      <c r="D12" s="118"/>
      <c r="E12" s="151"/>
    </row>
    <row r="13" spans="1:5" ht="31.5">
      <c r="A13" s="54" t="s">
        <v>225</v>
      </c>
      <c r="B13" s="196" t="s">
        <v>177</v>
      </c>
      <c r="C13" s="35">
        <v>33192143</v>
      </c>
      <c r="D13" s="118"/>
      <c r="E13" s="151"/>
    </row>
    <row r="14" spans="1:5" ht="15.75">
      <c r="A14" s="14" t="s">
        <v>249</v>
      </c>
      <c r="B14" s="3" t="s">
        <v>23</v>
      </c>
      <c r="C14" s="37">
        <f>C15+C16+C17</f>
        <v>3537060</v>
      </c>
      <c r="D14" s="115"/>
      <c r="E14" s="151"/>
    </row>
    <row r="15" spans="1:5" ht="15.75">
      <c r="A15" s="54" t="s">
        <v>250</v>
      </c>
      <c r="B15" s="196" t="s">
        <v>24</v>
      </c>
      <c r="C15" s="38">
        <v>1318171</v>
      </c>
      <c r="D15" s="118"/>
      <c r="E15" s="151"/>
    </row>
    <row r="16" spans="1:5" ht="15.75">
      <c r="A16" s="207" t="s">
        <v>251</v>
      </c>
      <c r="B16" s="208" t="s">
        <v>142</v>
      </c>
      <c r="C16" s="209">
        <v>1483108</v>
      </c>
      <c r="D16" s="118"/>
      <c r="E16" s="151"/>
    </row>
    <row r="17" spans="1:5" ht="15.75">
      <c r="A17" s="207" t="s">
        <v>252</v>
      </c>
      <c r="B17" s="208" t="s">
        <v>220</v>
      </c>
      <c r="C17" s="209">
        <v>735781</v>
      </c>
      <c r="D17" s="118"/>
      <c r="E17" s="151"/>
    </row>
    <row r="18" spans="1:5" ht="15.75">
      <c r="A18" s="55" t="s">
        <v>253</v>
      </c>
      <c r="B18" s="3" t="s">
        <v>0</v>
      </c>
      <c r="C18" s="37">
        <v>256117</v>
      </c>
      <c r="D18" s="115"/>
      <c r="E18" s="151"/>
    </row>
    <row r="19" spans="1:5" ht="16.5" thickBot="1">
      <c r="A19" s="166"/>
      <c r="B19" s="167" t="s">
        <v>188</v>
      </c>
      <c r="C19" s="168">
        <f>C20+C22+C36+C39+C46</f>
        <v>309474</v>
      </c>
      <c r="D19" s="115"/>
      <c r="E19" s="151"/>
    </row>
    <row r="20" spans="1:5" ht="16.5" thickTop="1">
      <c r="A20" s="56" t="s">
        <v>37</v>
      </c>
      <c r="B20" s="15" t="s">
        <v>25</v>
      </c>
      <c r="C20" s="36">
        <f>C21</f>
        <v>640</v>
      </c>
      <c r="D20" s="115"/>
      <c r="E20" s="151"/>
    </row>
    <row r="21" spans="1:5" ht="15.75">
      <c r="A21" s="54" t="s">
        <v>254</v>
      </c>
      <c r="B21" s="196" t="s">
        <v>143</v>
      </c>
      <c r="C21" s="38">
        <v>640</v>
      </c>
      <c r="D21" s="118"/>
      <c r="E21" s="151"/>
    </row>
    <row r="22" spans="1:5" ht="15.75">
      <c r="A22" s="14" t="s">
        <v>38</v>
      </c>
      <c r="B22" s="3" t="s">
        <v>26</v>
      </c>
      <c r="C22" s="37">
        <f>C23+C28</f>
        <v>66092</v>
      </c>
      <c r="D22" s="115"/>
      <c r="E22" s="151"/>
    </row>
    <row r="23" spans="1:5" ht="15.75">
      <c r="A23" s="51" t="s">
        <v>255</v>
      </c>
      <c r="B23" s="52" t="s">
        <v>1</v>
      </c>
      <c r="C23" s="37">
        <f>SUM(C25+C26+C27+C24)</f>
        <v>19209</v>
      </c>
      <c r="D23" s="115"/>
      <c r="E23" s="151"/>
    </row>
    <row r="24" spans="1:4" ht="31.5">
      <c r="A24" s="54" t="s">
        <v>256</v>
      </c>
      <c r="B24" s="196" t="s">
        <v>332</v>
      </c>
      <c r="C24" s="38">
        <v>2134</v>
      </c>
      <c r="D24" s="109"/>
    </row>
    <row r="25" spans="1:4" ht="31.5">
      <c r="A25" s="54" t="s">
        <v>257</v>
      </c>
      <c r="B25" s="196" t="s">
        <v>144</v>
      </c>
      <c r="C25" s="39">
        <v>4269</v>
      </c>
      <c r="D25" s="110"/>
    </row>
    <row r="26" spans="1:4" ht="15.75">
      <c r="A26" s="54" t="s">
        <v>258</v>
      </c>
      <c r="B26" s="196" t="s">
        <v>145</v>
      </c>
      <c r="C26" s="39">
        <v>2846</v>
      </c>
      <c r="D26" s="110"/>
    </row>
    <row r="27" spans="1:4" ht="15.75">
      <c r="A27" s="54" t="s">
        <v>259</v>
      </c>
      <c r="B27" s="196" t="s">
        <v>178</v>
      </c>
      <c r="C27" s="39">
        <v>9960</v>
      </c>
      <c r="D27" s="110"/>
    </row>
    <row r="28" spans="1:4" ht="15.75">
      <c r="A28" s="51" t="s">
        <v>260</v>
      </c>
      <c r="B28" s="52" t="s">
        <v>2</v>
      </c>
      <c r="C28" s="37">
        <f>SUM(C29+C30+C31+C32+C33+C34+C35)</f>
        <v>46883</v>
      </c>
      <c r="D28" s="108"/>
    </row>
    <row r="29" spans="1:4" ht="31.5">
      <c r="A29" s="54" t="s">
        <v>95</v>
      </c>
      <c r="B29" s="196" t="s">
        <v>384</v>
      </c>
      <c r="C29" s="39">
        <v>21343</v>
      </c>
      <c r="D29" s="110"/>
    </row>
    <row r="30" spans="1:4" ht="31.5">
      <c r="A30" s="54" t="s">
        <v>96</v>
      </c>
      <c r="B30" s="196" t="s">
        <v>146</v>
      </c>
      <c r="C30" s="39">
        <v>711</v>
      </c>
      <c r="D30" s="110"/>
    </row>
    <row r="31" spans="1:4" ht="15.75">
      <c r="A31" s="54" t="s">
        <v>116</v>
      </c>
      <c r="B31" s="196" t="s">
        <v>147</v>
      </c>
      <c r="C31" s="39">
        <v>7541</v>
      </c>
      <c r="D31" s="110"/>
    </row>
    <row r="32" spans="1:4" ht="15.75">
      <c r="A32" s="54" t="s">
        <v>261</v>
      </c>
      <c r="B32" s="196" t="s">
        <v>148</v>
      </c>
      <c r="C32" s="39">
        <v>213</v>
      </c>
      <c r="D32" s="110"/>
    </row>
    <row r="33" spans="1:4" ht="31.5">
      <c r="A33" s="54" t="s">
        <v>262</v>
      </c>
      <c r="B33" s="196" t="s">
        <v>149</v>
      </c>
      <c r="C33" s="39">
        <v>4269</v>
      </c>
      <c r="D33" s="110"/>
    </row>
    <row r="34" spans="1:4" ht="15.75">
      <c r="A34" s="54" t="s">
        <v>244</v>
      </c>
      <c r="B34" s="196" t="s">
        <v>150</v>
      </c>
      <c r="C34" s="39">
        <v>11383</v>
      </c>
      <c r="D34" s="110"/>
    </row>
    <row r="35" spans="1:4" ht="15.75">
      <c r="A35" s="54" t="s">
        <v>334</v>
      </c>
      <c r="B35" s="196" t="s">
        <v>385</v>
      </c>
      <c r="C35" s="39">
        <v>1423</v>
      </c>
      <c r="D35" s="110"/>
    </row>
    <row r="36" spans="1:4" ht="15.75">
      <c r="A36" s="14" t="s">
        <v>39</v>
      </c>
      <c r="B36" s="3" t="s">
        <v>3</v>
      </c>
      <c r="C36" s="37">
        <f>SUM(C37+C38)</f>
        <v>206316</v>
      </c>
      <c r="D36" s="108"/>
    </row>
    <row r="37" spans="1:4" ht="15.75">
      <c r="A37" s="57" t="s">
        <v>263</v>
      </c>
      <c r="B37" s="196" t="s">
        <v>151</v>
      </c>
      <c r="C37" s="38">
        <v>113829</v>
      </c>
      <c r="D37" s="109"/>
    </row>
    <row r="38" spans="1:4" ht="15.75">
      <c r="A38" s="57" t="s">
        <v>264</v>
      </c>
      <c r="B38" s="196" t="s">
        <v>152</v>
      </c>
      <c r="C38" s="38">
        <v>92487</v>
      </c>
      <c r="D38" s="109"/>
    </row>
    <row r="39" spans="1:4" ht="15.75">
      <c r="A39" s="14" t="s">
        <v>265</v>
      </c>
      <c r="B39" s="3" t="s">
        <v>4</v>
      </c>
      <c r="C39" s="37">
        <f>C40+C44</f>
        <v>7257</v>
      </c>
      <c r="D39" s="108"/>
    </row>
    <row r="40" spans="1:4" ht="15.75">
      <c r="A40" s="51" t="s">
        <v>266</v>
      </c>
      <c r="B40" s="52" t="s">
        <v>157</v>
      </c>
      <c r="C40" s="37">
        <f>C41+C43+C42</f>
        <v>5834</v>
      </c>
      <c r="D40" s="108"/>
    </row>
    <row r="41" spans="1:4" ht="15.75">
      <c r="A41" s="54" t="s">
        <v>267</v>
      </c>
      <c r="B41" s="196" t="s">
        <v>386</v>
      </c>
      <c r="C41" s="38">
        <v>2846</v>
      </c>
      <c r="D41" s="109"/>
    </row>
    <row r="42" spans="1:4" ht="15.75">
      <c r="A42" s="54" t="s">
        <v>268</v>
      </c>
      <c r="B42" s="196" t="s">
        <v>221</v>
      </c>
      <c r="C42" s="38">
        <v>142</v>
      </c>
      <c r="D42" s="109"/>
    </row>
    <row r="43" spans="1:4" ht="15.75">
      <c r="A43" s="54" t="s">
        <v>269</v>
      </c>
      <c r="B43" s="196" t="s">
        <v>387</v>
      </c>
      <c r="C43" s="38">
        <v>2846</v>
      </c>
      <c r="D43" s="109"/>
    </row>
    <row r="44" spans="1:4" ht="15.75">
      <c r="A44" s="58" t="s">
        <v>270</v>
      </c>
      <c r="B44" s="52" t="s">
        <v>236</v>
      </c>
      <c r="C44" s="37">
        <f>C45</f>
        <v>1423</v>
      </c>
      <c r="D44" s="108"/>
    </row>
    <row r="45" spans="1:4" ht="30">
      <c r="A45" s="54" t="s">
        <v>271</v>
      </c>
      <c r="B45" s="197" t="s">
        <v>193</v>
      </c>
      <c r="C45" s="38">
        <v>1423</v>
      </c>
      <c r="D45" s="109"/>
    </row>
    <row r="46" spans="1:4" ht="31.5">
      <c r="A46" s="14" t="s">
        <v>272</v>
      </c>
      <c r="B46" s="3" t="s">
        <v>153</v>
      </c>
      <c r="C46" s="37">
        <f>C47+C48</f>
        <v>29169</v>
      </c>
      <c r="D46" s="108"/>
    </row>
    <row r="47" spans="1:4" ht="15.75">
      <c r="A47" s="54" t="s">
        <v>273</v>
      </c>
      <c r="B47" s="196" t="s">
        <v>5</v>
      </c>
      <c r="C47" s="38">
        <v>7826</v>
      </c>
      <c r="D47" s="109"/>
    </row>
    <row r="48" spans="1:4" ht="15.75">
      <c r="A48" s="54" t="s">
        <v>274</v>
      </c>
      <c r="B48" s="196" t="s">
        <v>6</v>
      </c>
      <c r="C48" s="38">
        <v>21343</v>
      </c>
      <c r="D48" s="109"/>
    </row>
    <row r="49" spans="1:5" ht="16.5" thickBot="1">
      <c r="A49" s="163"/>
      <c r="B49" s="164" t="s">
        <v>189</v>
      </c>
      <c r="C49" s="165">
        <f>C50+C55</f>
        <v>7635577</v>
      </c>
      <c r="D49" s="115"/>
      <c r="E49" s="117"/>
    </row>
    <row r="50" spans="1:5" ht="16.5" thickTop="1">
      <c r="A50" s="56" t="s">
        <v>275</v>
      </c>
      <c r="B50" s="15" t="s">
        <v>27</v>
      </c>
      <c r="C50" s="36">
        <f>C51</f>
        <v>6815699</v>
      </c>
      <c r="D50" s="115"/>
      <c r="E50" s="117"/>
    </row>
    <row r="51" spans="1:5" ht="15.75">
      <c r="A51" s="51" t="s">
        <v>276</v>
      </c>
      <c r="B51" s="52" t="s">
        <v>309</v>
      </c>
      <c r="C51" s="37">
        <f>C52+C53+C54</f>
        <v>6815699</v>
      </c>
      <c r="D51" s="115"/>
      <c r="E51" s="117"/>
    </row>
    <row r="52" spans="1:5" ht="15.75">
      <c r="A52" s="10" t="s">
        <v>277</v>
      </c>
      <c r="B52" s="196" t="s">
        <v>308</v>
      </c>
      <c r="C52" s="38">
        <f>6620251+31</f>
        <v>6620282</v>
      </c>
      <c r="D52" s="118"/>
      <c r="E52" s="117"/>
    </row>
    <row r="53" spans="1:5" ht="45">
      <c r="A53" s="10" t="s">
        <v>278</v>
      </c>
      <c r="B53" s="197" t="s">
        <v>310</v>
      </c>
      <c r="C53" s="38">
        <f>108380+87037</f>
        <v>195417</v>
      </c>
      <c r="D53" s="118"/>
      <c r="E53" s="117"/>
    </row>
    <row r="54" spans="1:5" ht="15.75" hidden="1">
      <c r="A54" s="10" t="s">
        <v>279</v>
      </c>
      <c r="B54" s="196" t="s">
        <v>311</v>
      </c>
      <c r="C54" s="38"/>
      <c r="D54" s="118"/>
      <c r="E54" s="117"/>
    </row>
    <row r="55" spans="1:5" ht="15.75">
      <c r="A55" s="59" t="s">
        <v>280</v>
      </c>
      <c r="B55" s="3" t="s">
        <v>154</v>
      </c>
      <c r="C55" s="37">
        <f>SUM(C56)</f>
        <v>819878</v>
      </c>
      <c r="D55" s="115"/>
      <c r="E55" s="117"/>
    </row>
    <row r="56" spans="1:5" ht="16.5" thickBot="1">
      <c r="A56" s="198" t="s">
        <v>281</v>
      </c>
      <c r="B56" s="199" t="s">
        <v>312</v>
      </c>
      <c r="C56" s="200">
        <v>819878</v>
      </c>
      <c r="D56" s="115"/>
      <c r="E56" s="117"/>
    </row>
    <row r="57" spans="1:9" s="33" customFormat="1" ht="16.5" thickBot="1">
      <c r="A57" s="172"/>
      <c r="B57" s="173" t="s">
        <v>194</v>
      </c>
      <c r="C57" s="174">
        <f>SUM(C58)</f>
        <v>1304696</v>
      </c>
      <c r="D57" s="116"/>
      <c r="E57" s="119"/>
      <c r="F57" s="155"/>
      <c r="G57" s="155"/>
      <c r="H57" s="155"/>
      <c r="I57" s="155"/>
    </row>
    <row r="58" spans="1:9" ht="16.5" thickTop="1">
      <c r="A58" s="60" t="s">
        <v>282</v>
      </c>
      <c r="B58" s="66" t="s">
        <v>283</v>
      </c>
      <c r="C58" s="40">
        <f>C59+C65</f>
        <v>1304696</v>
      </c>
      <c r="D58" s="108"/>
      <c r="E58" s="64"/>
      <c r="F58" s="156"/>
      <c r="G58" s="109"/>
      <c r="H58" s="64"/>
      <c r="I58" s="64"/>
    </row>
    <row r="59" spans="1:9" ht="31.5">
      <c r="A59" s="61" t="s">
        <v>284</v>
      </c>
      <c r="B59" s="65" t="s">
        <v>20</v>
      </c>
      <c r="C59" s="36">
        <f>C60+C61+C62+C63+C64</f>
        <v>1256764</v>
      </c>
      <c r="D59" s="108"/>
      <c r="E59" s="64"/>
      <c r="F59" s="156"/>
      <c r="G59" s="109"/>
      <c r="H59" s="64"/>
      <c r="I59" s="64"/>
    </row>
    <row r="60" spans="1:9" ht="31.5">
      <c r="A60" s="54" t="s">
        <v>285</v>
      </c>
      <c r="B60" s="196" t="s">
        <v>155</v>
      </c>
      <c r="C60" s="38">
        <v>71</v>
      </c>
      <c r="D60" s="109"/>
      <c r="E60" s="64"/>
      <c r="F60" s="156"/>
      <c r="G60" s="109"/>
      <c r="H60" s="64"/>
      <c r="I60" s="64"/>
    </row>
    <row r="61" spans="1:9" ht="15.75">
      <c r="A61" s="54" t="s">
        <v>286</v>
      </c>
      <c r="B61" s="196" t="s">
        <v>7</v>
      </c>
      <c r="C61" s="38">
        <v>240949</v>
      </c>
      <c r="D61" s="109"/>
      <c r="E61" s="64"/>
      <c r="F61" s="155"/>
      <c r="G61" s="157"/>
      <c r="H61" s="64"/>
      <c r="I61" s="64"/>
    </row>
    <row r="62" spans="1:9" ht="15.75">
      <c r="A62" s="54" t="s">
        <v>287</v>
      </c>
      <c r="B62" s="196" t="s">
        <v>8</v>
      </c>
      <c r="C62" s="38">
        <v>1466</v>
      </c>
      <c r="D62" s="109"/>
      <c r="E62" s="64"/>
      <c r="F62" s="64"/>
      <c r="G62" s="64"/>
      <c r="H62" s="64"/>
      <c r="I62" s="64"/>
    </row>
    <row r="63" spans="1:9" ht="15.75">
      <c r="A63" s="54" t="s">
        <v>288</v>
      </c>
      <c r="B63" s="196" t="s">
        <v>9</v>
      </c>
      <c r="C63" s="38">
        <v>349921</v>
      </c>
      <c r="D63" s="109"/>
      <c r="E63" s="64"/>
      <c r="F63" s="64"/>
      <c r="G63" s="64"/>
      <c r="H63" s="64"/>
      <c r="I63" s="64"/>
    </row>
    <row r="64" spans="1:9" ht="31.5">
      <c r="A64" s="54" t="s">
        <v>289</v>
      </c>
      <c r="B64" s="196" t="s">
        <v>156</v>
      </c>
      <c r="C64" s="38">
        <v>664357</v>
      </c>
      <c r="D64" s="109"/>
      <c r="E64" s="64"/>
      <c r="F64" s="64"/>
      <c r="G64" s="64"/>
      <c r="H64" s="64"/>
      <c r="I64" s="64"/>
    </row>
    <row r="65" spans="1:9" ht="16.5" thickBot="1">
      <c r="A65" s="62" t="s">
        <v>388</v>
      </c>
      <c r="B65" s="16" t="s">
        <v>313</v>
      </c>
      <c r="C65" s="41">
        <v>47932</v>
      </c>
      <c r="D65" s="108"/>
      <c r="E65" s="64"/>
      <c r="F65" s="64"/>
      <c r="G65" s="64"/>
      <c r="H65" s="64"/>
      <c r="I65" s="64"/>
    </row>
    <row r="66" spans="1:6" ht="19.5" thickBot="1">
      <c r="A66" s="175"/>
      <c r="B66" s="176" t="s">
        <v>190</v>
      </c>
      <c r="C66" s="177">
        <f>SUM(C67:C68)</f>
        <v>13382922</v>
      </c>
      <c r="D66" s="111"/>
      <c r="F66" s="93"/>
    </row>
    <row r="67" spans="1:4" ht="16.5" thickTop="1">
      <c r="A67" s="63" t="s">
        <v>195</v>
      </c>
      <c r="B67" s="19" t="s">
        <v>196</v>
      </c>
      <c r="C67" s="228">
        <v>5821876</v>
      </c>
      <c r="D67" s="109"/>
    </row>
    <row r="68" spans="1:4" ht="16.5" thickBot="1">
      <c r="A68" s="365" t="s">
        <v>18</v>
      </c>
      <c r="B68" s="366" t="s">
        <v>19</v>
      </c>
      <c r="C68" s="367">
        <v>7561046</v>
      </c>
      <c r="D68" s="109"/>
    </row>
    <row r="69" spans="1:4" ht="21" thickBot="1">
      <c r="A69" s="178"/>
      <c r="B69" s="179" t="s">
        <v>192</v>
      </c>
      <c r="C69" s="180">
        <f>C9+C66</f>
        <v>59801730</v>
      </c>
      <c r="D69" s="112"/>
    </row>
    <row r="70" spans="1:4" ht="18.75">
      <c r="A70" s="64"/>
      <c r="B70" s="5"/>
      <c r="C70" s="6"/>
      <c r="D70" s="6"/>
    </row>
    <row r="71" spans="1:4" ht="20.25">
      <c r="A71" s="4" t="s">
        <v>28</v>
      </c>
      <c r="B71" s="17"/>
      <c r="C71" s="12" t="s">
        <v>29</v>
      </c>
      <c r="D71" s="12"/>
    </row>
    <row r="78" spans="2:4" ht="15.75">
      <c r="B78" s="106"/>
      <c r="C78" s="93"/>
      <c r="D78" s="93"/>
    </row>
  </sheetData>
  <sheetProtection/>
  <mergeCells count="1">
    <mergeCell ref="A5:C5"/>
  </mergeCells>
  <printOptions/>
  <pageMargins left="0.7480314960629921" right="0.1968503937007874" top="0.7086614173228347" bottom="0.4724409448818898" header="0.511811023622047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9">
      <selection activeCell="A1" sqref="A1:H27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3.00390625" style="0" customWidth="1"/>
    <col min="4" max="4" width="14.7109375" style="0" customWidth="1"/>
    <col min="5" max="5" width="12.00390625" style="0" customWidth="1"/>
    <col min="6" max="6" width="14.140625" style="0" customWidth="1"/>
    <col min="7" max="7" width="12.00390625" style="0" customWidth="1"/>
    <col min="8" max="8" width="13.00390625" style="0" customWidth="1"/>
    <col min="9" max="9" width="14.421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11" t="s">
        <v>183</v>
      </c>
    </row>
    <row r="2" spans="1:8" ht="15">
      <c r="A2" s="2"/>
      <c r="B2" s="2"/>
      <c r="C2" s="2"/>
      <c r="D2" s="2"/>
      <c r="E2" s="2"/>
      <c r="F2" s="2"/>
      <c r="G2" s="2"/>
      <c r="H2" s="13" t="s">
        <v>689</v>
      </c>
    </row>
    <row r="3" spans="1:8" ht="15">
      <c r="A3" s="2"/>
      <c r="B3" s="2"/>
      <c r="C3" s="2"/>
      <c r="D3" s="2"/>
      <c r="E3" s="2"/>
      <c r="F3" s="2"/>
      <c r="G3" s="2"/>
      <c r="H3" s="13" t="s">
        <v>691</v>
      </c>
    </row>
    <row r="4" spans="1:8" ht="20.25">
      <c r="A4" s="372" t="s">
        <v>390</v>
      </c>
      <c r="B4" s="372"/>
      <c r="C4" s="372"/>
      <c r="D4" s="372"/>
      <c r="E4" s="372"/>
      <c r="F4" s="372"/>
      <c r="G4" s="372"/>
      <c r="H4" s="372"/>
    </row>
    <row r="5" spans="1:8" ht="20.25">
      <c r="A5" s="380" t="s">
        <v>457</v>
      </c>
      <c r="B5" s="380"/>
      <c r="C5" s="380"/>
      <c r="D5" s="380"/>
      <c r="E5" s="380"/>
      <c r="F5" s="380"/>
      <c r="G5" s="380"/>
      <c r="H5" s="380"/>
    </row>
    <row r="6" spans="1:8" ht="21" thickBot="1">
      <c r="A6" s="281"/>
      <c r="B6" s="281"/>
      <c r="C6" s="281"/>
      <c r="D6" s="281"/>
      <c r="E6" s="281"/>
      <c r="F6" s="281"/>
      <c r="G6" s="281"/>
      <c r="H6" s="282" t="s">
        <v>455</v>
      </c>
    </row>
    <row r="7" spans="1:8" s="68" customFormat="1" ht="14.25">
      <c r="A7" s="378" t="s">
        <v>248</v>
      </c>
      <c r="B7" s="376" t="s">
        <v>31</v>
      </c>
      <c r="C7" s="376" t="s">
        <v>399</v>
      </c>
      <c r="D7" s="373" t="s">
        <v>57</v>
      </c>
      <c r="E7" s="374"/>
      <c r="F7" s="374"/>
      <c r="G7" s="374"/>
      <c r="H7" s="375"/>
    </row>
    <row r="8" spans="1:8" s="68" customFormat="1" ht="72" thickBot="1">
      <c r="A8" s="379"/>
      <c r="B8" s="377"/>
      <c r="C8" s="377"/>
      <c r="D8" s="184" t="s">
        <v>291</v>
      </c>
      <c r="E8" s="185" t="s">
        <v>292</v>
      </c>
      <c r="F8" s="184" t="s">
        <v>27</v>
      </c>
      <c r="G8" s="185" t="s">
        <v>294</v>
      </c>
      <c r="H8" s="186" t="s">
        <v>392</v>
      </c>
    </row>
    <row r="9" spans="1:8" s="74" customFormat="1" ht="38.25" customHeight="1" thickBot="1">
      <c r="A9" s="76"/>
      <c r="B9" s="77" t="s">
        <v>30</v>
      </c>
      <c r="C9" s="78" t="e">
        <f aca="true" t="shared" si="0" ref="C9:H9">C10+C11+C12+C13+C14+C16+C17+C18+C15</f>
        <v>#REF!</v>
      </c>
      <c r="D9" s="78" t="e">
        <f t="shared" si="0"/>
        <v>#REF!</v>
      </c>
      <c r="E9" s="79" t="e">
        <f t="shared" si="0"/>
        <v>#REF!</v>
      </c>
      <c r="F9" s="79" t="e">
        <f t="shared" si="0"/>
        <v>#REF!</v>
      </c>
      <c r="G9" s="79" t="e">
        <f t="shared" si="0"/>
        <v>#REF!</v>
      </c>
      <c r="H9" s="80" t="e">
        <f t="shared" si="0"/>
        <v>#REF!</v>
      </c>
    </row>
    <row r="10" spans="1:10" ht="15.75" thickTop="1">
      <c r="A10" s="23" t="s">
        <v>32</v>
      </c>
      <c r="B10" s="24" t="s">
        <v>10</v>
      </c>
      <c r="C10" s="69" t="e">
        <f>D10+E10+F10+G10+H10</f>
        <v>#REF!</v>
      </c>
      <c r="D10" s="43" t="e">
        <f>#REF!</f>
        <v>#REF!</v>
      </c>
      <c r="E10" s="43" t="e">
        <f>#REF!</f>
        <v>#REF!</v>
      </c>
      <c r="F10" s="43" t="e">
        <f>#REF!</f>
        <v>#REF!</v>
      </c>
      <c r="G10" s="43" t="e">
        <f>#REF!</f>
        <v>#REF!</v>
      </c>
      <c r="H10" s="48" t="e">
        <f>#REF!</f>
        <v>#REF!</v>
      </c>
      <c r="J10" s="47"/>
    </row>
    <row r="11" spans="1:8" ht="15">
      <c r="A11" s="26" t="s">
        <v>33</v>
      </c>
      <c r="B11" s="20" t="s">
        <v>12</v>
      </c>
      <c r="C11" s="69" t="e">
        <f aca="true" t="shared" si="1" ref="C11:C24">D11+E11+F11+G11+H11</f>
        <v>#REF!</v>
      </c>
      <c r="D11" s="44" t="e">
        <f>#REF!</f>
        <v>#REF!</v>
      </c>
      <c r="E11" s="44" t="e">
        <f>#REF!</f>
        <v>#REF!</v>
      </c>
      <c r="F11" s="44" t="e">
        <f>#REF!</f>
        <v>#REF!</v>
      </c>
      <c r="G11" s="50" t="e">
        <f>#REF!</f>
        <v>#REF!</v>
      </c>
      <c r="H11" s="45" t="e">
        <f>#REF!</f>
        <v>#REF!</v>
      </c>
    </row>
    <row r="12" spans="1:8" ht="15">
      <c r="A12" s="26" t="s">
        <v>34</v>
      </c>
      <c r="B12" s="20" t="s">
        <v>13</v>
      </c>
      <c r="C12" s="69" t="e">
        <f t="shared" si="1"/>
        <v>#REF!</v>
      </c>
      <c r="D12" s="44" t="e">
        <f>#REF!</f>
        <v>#REF!</v>
      </c>
      <c r="E12" s="44" t="e">
        <f>#REF!</f>
        <v>#REF!</v>
      </c>
      <c r="F12" s="44" t="e">
        <f>#REF!</f>
        <v>#REF!</v>
      </c>
      <c r="G12" s="50" t="e">
        <f>#REF!</f>
        <v>#REF!</v>
      </c>
      <c r="H12" s="45" t="e">
        <f>#REF!</f>
        <v>#REF!</v>
      </c>
    </row>
    <row r="13" spans="1:8" ht="15">
      <c r="A13" s="26" t="s">
        <v>35</v>
      </c>
      <c r="B13" s="20" t="s">
        <v>14</v>
      </c>
      <c r="C13" s="69" t="e">
        <f t="shared" si="1"/>
        <v>#REF!</v>
      </c>
      <c r="D13" s="44" t="e">
        <f>#REF!</f>
        <v>#REF!</v>
      </c>
      <c r="E13" s="44" t="e">
        <f>#REF!</f>
        <v>#REF!</v>
      </c>
      <c r="F13" s="44" t="e">
        <f>#REF!</f>
        <v>#REF!</v>
      </c>
      <c r="G13" s="50" t="e">
        <f>#REF!</f>
        <v>#REF!</v>
      </c>
      <c r="H13" s="45" t="e">
        <f>#REF!</f>
        <v>#REF!</v>
      </c>
    </row>
    <row r="14" spans="1:8" ht="15">
      <c r="A14" s="26" t="s">
        <v>36</v>
      </c>
      <c r="B14" s="20" t="s">
        <v>197</v>
      </c>
      <c r="C14" s="69" t="e">
        <f t="shared" si="1"/>
        <v>#REF!</v>
      </c>
      <c r="D14" s="44" t="e">
        <f>#REF!</f>
        <v>#REF!</v>
      </c>
      <c r="E14" s="44" t="e">
        <f>#REF!</f>
        <v>#REF!</v>
      </c>
      <c r="F14" s="44" t="e">
        <f>#REF!</f>
        <v>#REF!</v>
      </c>
      <c r="G14" s="50" t="e">
        <f>#REF!</f>
        <v>#REF!</v>
      </c>
      <c r="H14" s="45" t="e">
        <f>#REF!</f>
        <v>#REF!</v>
      </c>
    </row>
    <row r="15" spans="1:8" ht="15">
      <c r="A15" s="26" t="s">
        <v>180</v>
      </c>
      <c r="B15" s="20" t="s">
        <v>181</v>
      </c>
      <c r="C15" s="69" t="e">
        <f t="shared" si="1"/>
        <v>#REF!</v>
      </c>
      <c r="D15" s="44" t="e">
        <f>#REF!</f>
        <v>#REF!</v>
      </c>
      <c r="E15" s="44" t="e">
        <f>#REF!</f>
        <v>#REF!</v>
      </c>
      <c r="F15" s="44" t="e">
        <f>#REF!</f>
        <v>#REF!</v>
      </c>
      <c r="G15" s="50" t="e">
        <f>#REF!</f>
        <v>#REF!</v>
      </c>
      <c r="H15" s="45" t="e">
        <f>#REF!</f>
        <v>#REF!</v>
      </c>
    </row>
    <row r="16" spans="1:8" ht="15">
      <c r="A16" s="26" t="s">
        <v>37</v>
      </c>
      <c r="B16" s="20" t="s">
        <v>15</v>
      </c>
      <c r="C16" s="69" t="e">
        <f t="shared" si="1"/>
        <v>#REF!</v>
      </c>
      <c r="D16" s="44" t="e">
        <f>#REF!</f>
        <v>#REF!</v>
      </c>
      <c r="E16" s="44" t="e">
        <f>#REF!</f>
        <v>#REF!</v>
      </c>
      <c r="F16" s="44" t="e">
        <f>#REF!</f>
        <v>#REF!</v>
      </c>
      <c r="G16" s="50" t="e">
        <f>#REF!</f>
        <v>#REF!</v>
      </c>
      <c r="H16" s="45" t="e">
        <f>#REF!</f>
        <v>#REF!</v>
      </c>
    </row>
    <row r="17" spans="1:8" ht="15">
      <c r="A17" s="26" t="s">
        <v>38</v>
      </c>
      <c r="B17" s="20" t="s">
        <v>16</v>
      </c>
      <c r="C17" s="69" t="e">
        <f t="shared" si="1"/>
        <v>#REF!</v>
      </c>
      <c r="D17" s="44" t="e">
        <f>#REF!</f>
        <v>#REF!</v>
      </c>
      <c r="E17" s="44" t="e">
        <f>#REF!</f>
        <v>#REF!</v>
      </c>
      <c r="F17" s="44" t="e">
        <f>#REF!</f>
        <v>#REF!</v>
      </c>
      <c r="G17" s="44" t="e">
        <f>#REF!</f>
        <v>#REF!</v>
      </c>
      <c r="H17" s="45" t="e">
        <f>#REF!</f>
        <v>#REF!</v>
      </c>
    </row>
    <row r="18" spans="1:8" ht="15.75" thickBot="1">
      <c r="A18" s="27" t="s">
        <v>39</v>
      </c>
      <c r="B18" s="28" t="s">
        <v>17</v>
      </c>
      <c r="C18" s="69" t="e">
        <f t="shared" si="1"/>
        <v>#REF!</v>
      </c>
      <c r="D18" s="46" t="e">
        <f>#REF!</f>
        <v>#REF!</v>
      </c>
      <c r="E18" s="46" t="e">
        <f>#REF!</f>
        <v>#REF!</v>
      </c>
      <c r="F18" s="46" t="e">
        <f>#REF!</f>
        <v>#REF!</v>
      </c>
      <c r="G18" s="46" t="e">
        <f>#REF!</f>
        <v>#REF!</v>
      </c>
      <c r="H18" s="49" t="e">
        <f>#REF!</f>
        <v>#REF!</v>
      </c>
    </row>
    <row r="19" spans="1:8" s="74" customFormat="1" ht="22.5" customHeight="1" thickBot="1">
      <c r="A19" s="70"/>
      <c r="B19" s="71" t="s">
        <v>56</v>
      </c>
      <c r="C19" s="72" t="e">
        <f aca="true" t="shared" si="2" ref="C19:H19">C20+C21</f>
        <v>#REF!</v>
      </c>
      <c r="D19" s="72" t="e">
        <f t="shared" si="2"/>
        <v>#REF!</v>
      </c>
      <c r="E19" s="72" t="e">
        <f t="shared" si="2"/>
        <v>#REF!</v>
      </c>
      <c r="F19" s="72" t="e">
        <f t="shared" si="2"/>
        <v>#REF!</v>
      </c>
      <c r="G19" s="72" t="e">
        <f t="shared" si="2"/>
        <v>#REF!</v>
      </c>
      <c r="H19" s="73" t="e">
        <f t="shared" si="2"/>
        <v>#REF!</v>
      </c>
    </row>
    <row r="20" spans="1:8" ht="16.5" customHeight="1" thickTop="1">
      <c r="A20" s="29" t="s">
        <v>198</v>
      </c>
      <c r="B20" s="25" t="s">
        <v>199</v>
      </c>
      <c r="C20" s="69" t="e">
        <f t="shared" si="1"/>
        <v>#REF!</v>
      </c>
      <c r="D20" s="43" t="e">
        <f>#REF!</f>
        <v>#REF!</v>
      </c>
      <c r="E20" s="43" t="e">
        <f>#REF!</f>
        <v>#REF!</v>
      </c>
      <c r="F20" s="43" t="e">
        <f>#REF!</f>
        <v>#REF!</v>
      </c>
      <c r="G20" s="43" t="e">
        <f>#REF!</f>
        <v>#REF!</v>
      </c>
      <c r="H20" s="48" t="e">
        <f>#REF!</f>
        <v>#REF!</v>
      </c>
    </row>
    <row r="21" spans="1:8" ht="17.25" customHeight="1">
      <c r="A21" s="30" t="s">
        <v>105</v>
      </c>
      <c r="B21" s="20" t="s">
        <v>182</v>
      </c>
      <c r="C21" s="69" t="e">
        <f t="shared" si="1"/>
        <v>#REF!</v>
      </c>
      <c r="D21" s="44" t="e">
        <f>#REF!</f>
        <v>#REF!</v>
      </c>
      <c r="E21" s="44" t="e">
        <f>#REF!</f>
        <v>#REF!</v>
      </c>
      <c r="F21" s="44" t="e">
        <f>#REF!</f>
        <v>#REF!</v>
      </c>
      <c r="G21" s="44" t="e">
        <f>#REF!</f>
        <v>#REF!</v>
      </c>
      <c r="H21" s="45" t="e">
        <f>#REF!</f>
        <v>#REF!</v>
      </c>
    </row>
    <row r="22" spans="1:8" ht="30">
      <c r="A22" s="32"/>
      <c r="B22" s="99" t="s">
        <v>389</v>
      </c>
      <c r="C22" s="44" t="e">
        <f t="shared" si="1"/>
        <v>#REF!</v>
      </c>
      <c r="D22" s="136" t="e">
        <f>#REF!</f>
        <v>#REF!</v>
      </c>
      <c r="E22" s="136" t="e">
        <f>#REF!</f>
        <v>#REF!</v>
      </c>
      <c r="F22" s="136" t="e">
        <f>#REF!</f>
        <v>#REF!</v>
      </c>
      <c r="G22" s="136" t="e">
        <f>#REF!</f>
        <v>#REF!</v>
      </c>
      <c r="H22" s="137" t="e">
        <f>#REF!</f>
        <v>#REF!</v>
      </c>
    </row>
    <row r="23" spans="1:8" ht="30">
      <c r="A23" s="32"/>
      <c r="B23" s="89" t="s">
        <v>394</v>
      </c>
      <c r="C23" s="44" t="e">
        <f t="shared" si="1"/>
        <v>#REF!</v>
      </c>
      <c r="D23" s="136" t="e">
        <f>#REF!</f>
        <v>#REF!</v>
      </c>
      <c r="E23" s="136"/>
      <c r="F23" s="136"/>
      <c r="G23" s="136"/>
      <c r="H23" s="137"/>
    </row>
    <row r="24" spans="1:9" ht="30.75" thickBot="1">
      <c r="A24" s="205"/>
      <c r="B24" s="121" t="s">
        <v>165</v>
      </c>
      <c r="C24" s="206" t="e">
        <f t="shared" si="1"/>
        <v>#REF!</v>
      </c>
      <c r="D24" s="136" t="e">
        <f>#REF!</f>
        <v>#REF!</v>
      </c>
      <c r="E24" s="136" t="e">
        <f>#REF!</f>
        <v>#REF!</v>
      </c>
      <c r="F24" s="136" t="e">
        <f>#REF!</f>
        <v>#REF!</v>
      </c>
      <c r="G24" s="136" t="e">
        <f>#REF!</f>
        <v>#REF!</v>
      </c>
      <c r="H24" s="137" t="e">
        <f>#REF!</f>
        <v>#REF!</v>
      </c>
      <c r="I24" s="31"/>
    </row>
    <row r="25" spans="1:8" s="75" customFormat="1" ht="21.75" customHeight="1" thickBot="1">
      <c r="A25" s="277"/>
      <c r="B25" s="278" t="s">
        <v>85</v>
      </c>
      <c r="C25" s="279" t="e">
        <f aca="true" t="shared" si="3" ref="C25:H25">C9+C19</f>
        <v>#REF!</v>
      </c>
      <c r="D25" s="279" t="e">
        <f t="shared" si="3"/>
        <v>#REF!</v>
      </c>
      <c r="E25" s="279" t="e">
        <f t="shared" si="3"/>
        <v>#REF!</v>
      </c>
      <c r="F25" s="279" t="e">
        <f t="shared" si="3"/>
        <v>#REF!</v>
      </c>
      <c r="G25" s="279" t="e">
        <f t="shared" si="3"/>
        <v>#REF!</v>
      </c>
      <c r="H25" s="280" t="e">
        <f t="shared" si="3"/>
        <v>#REF!</v>
      </c>
    </row>
    <row r="26" spans="1:4" s="18" customFormat="1" ht="18.75">
      <c r="A26" s="4"/>
      <c r="B26" s="21"/>
      <c r="C26" s="22"/>
      <c r="D26" s="114"/>
    </row>
    <row r="27" spans="1:8" ht="18.75">
      <c r="A27" s="221" t="s">
        <v>28</v>
      </c>
      <c r="B27" s="221"/>
      <c r="C27" s="222"/>
      <c r="D27" s="223"/>
      <c r="E27" s="222"/>
      <c r="F27" s="18"/>
      <c r="G27" s="18"/>
      <c r="H27" s="224" t="s">
        <v>29</v>
      </c>
    </row>
    <row r="28" ht="12.75">
      <c r="C28" s="47"/>
    </row>
    <row r="29" s="9" customFormat="1" ht="20.25">
      <c r="C29" s="113"/>
    </row>
  </sheetData>
  <sheetProtection/>
  <mergeCells count="6">
    <mergeCell ref="A4:H4"/>
    <mergeCell ref="D7:H7"/>
    <mergeCell ref="C7:C8"/>
    <mergeCell ref="A7:A8"/>
    <mergeCell ref="B7:B8"/>
    <mergeCell ref="A5:H5"/>
  </mergeCells>
  <printOptions/>
  <pageMargins left="0.61" right="0.75" top="0.25" bottom="0.26" header="0.26" footer="0.27"/>
  <pageSetup horizontalDpi="600" verticalDpi="600" orientation="landscape" paperSize="9" r:id="rId1"/>
  <ignoredErrors>
    <ignoredError sqref="C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1.57421875" style="67" customWidth="1"/>
    <col min="2" max="2" width="48.421875" style="87" customWidth="1"/>
    <col min="3" max="3" width="14.57421875" style="1" customWidth="1"/>
    <col min="4" max="4" width="13.7109375" style="83" customWidth="1"/>
    <col min="5" max="5" width="12.140625" style="1" customWidth="1"/>
    <col min="6" max="6" width="13.28125" style="1" customWidth="1"/>
    <col min="7" max="7" width="11.7109375" style="1" customWidth="1"/>
    <col min="8" max="8" width="13.8515625" style="1" customWidth="1"/>
    <col min="9" max="9" width="18.57421875" style="1" customWidth="1"/>
    <col min="10" max="16384" width="9.140625" style="1" customWidth="1"/>
  </cols>
  <sheetData>
    <row r="1" ht="15.75">
      <c r="H1" s="150" t="s">
        <v>83</v>
      </c>
    </row>
    <row r="2" ht="15.75">
      <c r="H2" s="150" t="s">
        <v>689</v>
      </c>
    </row>
    <row r="3" ht="15.75">
      <c r="H3" s="150" t="s">
        <v>692</v>
      </c>
    </row>
    <row r="4" spans="1:8" ht="15.75">
      <c r="A4" s="381" t="s">
        <v>390</v>
      </c>
      <c r="B4" s="382"/>
      <c r="C4" s="382"/>
      <c r="D4" s="382"/>
      <c r="E4" s="382"/>
      <c r="F4" s="382"/>
      <c r="G4" s="382"/>
      <c r="H4" s="382"/>
    </row>
    <row r="5" spans="1:8" ht="15.75">
      <c r="A5" s="381" t="s">
        <v>84</v>
      </c>
      <c r="B5" s="382"/>
      <c r="C5" s="382"/>
      <c r="D5" s="382"/>
      <c r="E5" s="382"/>
      <c r="F5" s="382"/>
      <c r="G5" s="382"/>
      <c r="H5" s="382"/>
    </row>
    <row r="6" ht="16.5" thickBot="1">
      <c r="H6" s="11" t="s">
        <v>455</v>
      </c>
    </row>
    <row r="7" spans="1:8" ht="15.75">
      <c r="A7" s="386" t="s">
        <v>223</v>
      </c>
      <c r="B7" s="388" t="s">
        <v>31</v>
      </c>
      <c r="C7" s="390" t="s">
        <v>391</v>
      </c>
      <c r="D7" s="383" t="s">
        <v>57</v>
      </c>
      <c r="E7" s="384"/>
      <c r="F7" s="384"/>
      <c r="G7" s="384"/>
      <c r="H7" s="385"/>
    </row>
    <row r="8" spans="1:8" s="84" customFormat="1" ht="72.75" thickBot="1">
      <c r="A8" s="387"/>
      <c r="B8" s="389"/>
      <c r="C8" s="391"/>
      <c r="D8" s="211" t="s">
        <v>291</v>
      </c>
      <c r="E8" s="211" t="s">
        <v>292</v>
      </c>
      <c r="F8" s="211" t="s">
        <v>293</v>
      </c>
      <c r="G8" s="211" t="s">
        <v>294</v>
      </c>
      <c r="H8" s="212" t="s">
        <v>392</v>
      </c>
    </row>
    <row r="9" spans="1:8" s="85" customFormat="1" ht="36" customHeight="1" thickBot="1">
      <c r="A9" s="265"/>
      <c r="B9" s="266" t="s">
        <v>30</v>
      </c>
      <c r="C9" s="263">
        <f>SUM(D9+E9+F9+G9+H9)</f>
        <v>56648556</v>
      </c>
      <c r="D9" s="263">
        <f>SUM(D10+D25+D30+D51+D59+D74+D100+D129+D68)</f>
        <v>44460457</v>
      </c>
      <c r="E9" s="263">
        <f>SUM(E10+E25+E30+E51+E59+E74+E100+E129+E68)</f>
        <v>1342330</v>
      </c>
      <c r="F9" s="263">
        <f>SUM(F10+F25+F30+F51+F59+F74+F100+F129+F68)</f>
        <v>6815699</v>
      </c>
      <c r="G9" s="263">
        <f>SUM(G10+G25+G30+G51+G59+G74+G100+G129+G68)</f>
        <v>819878</v>
      </c>
      <c r="H9" s="264">
        <f>SUM(H10+H25+H30+H51+H59+H74+H100+H129+H68)</f>
        <v>3210192</v>
      </c>
    </row>
    <row r="10" spans="1:8" s="85" customFormat="1" ht="15.75">
      <c r="A10" s="368" t="s">
        <v>32</v>
      </c>
      <c r="B10" s="218" t="s">
        <v>10</v>
      </c>
      <c r="C10" s="219">
        <f aca="true" t="shared" si="0" ref="C10:C88">SUM(D10+E10+F10+G10+H10)</f>
        <v>7149421</v>
      </c>
      <c r="D10" s="219">
        <f>SUM(D11+D13+D17+D18+D19+D20+D24)</f>
        <v>6189695</v>
      </c>
      <c r="E10" s="219">
        <f>SUM(E11+E13+E17+E18+E19+E20+E24)</f>
        <v>81132</v>
      </c>
      <c r="F10" s="219">
        <f>SUM(F11+F13+F17+F18+F19+F20+F24)</f>
        <v>0</v>
      </c>
      <c r="G10" s="219">
        <f>SUM(G11+G13+G17+G18+G19+G20+G24)</f>
        <v>754122</v>
      </c>
      <c r="H10" s="369">
        <f>SUM(H11+H13+H17+H18+H19+H20+H24)</f>
        <v>124472</v>
      </c>
    </row>
    <row r="11" spans="1:8" ht="15.75">
      <c r="A11" s="214" t="s">
        <v>42</v>
      </c>
      <c r="B11" s="215" t="s">
        <v>296</v>
      </c>
      <c r="C11" s="69">
        <f t="shared" si="0"/>
        <v>3059754</v>
      </c>
      <c r="D11" s="216">
        <f>SUM(D12:D12)</f>
        <v>2970927</v>
      </c>
      <c r="E11" s="216">
        <f>SUM(E12:E12)</f>
        <v>81132</v>
      </c>
      <c r="F11" s="216">
        <f>SUM(F12:F12)</f>
        <v>0</v>
      </c>
      <c r="G11" s="216">
        <f>SUM(G12:G12)</f>
        <v>0</v>
      </c>
      <c r="H11" s="217">
        <f>SUM(H12:H12)</f>
        <v>7695</v>
      </c>
    </row>
    <row r="12" spans="1:8" s="8" customFormat="1" ht="15.75">
      <c r="A12" s="81" t="s">
        <v>222</v>
      </c>
      <c r="B12" s="268" t="s">
        <v>224</v>
      </c>
      <c r="C12" s="125">
        <f>SUM(D12:H12)</f>
        <v>3059754</v>
      </c>
      <c r="D12" s="126">
        <v>2970927</v>
      </c>
      <c r="E12" s="127">
        <v>81132</v>
      </c>
      <c r="F12" s="127"/>
      <c r="G12" s="127"/>
      <c r="H12" s="128">
        <v>7695</v>
      </c>
    </row>
    <row r="13" spans="1:8" ht="15.75">
      <c r="A13" s="90" t="s">
        <v>40</v>
      </c>
      <c r="B13" s="88" t="s">
        <v>68</v>
      </c>
      <c r="C13" s="123">
        <f>SUM(C14:C16)</f>
        <v>312620</v>
      </c>
      <c r="D13" s="123">
        <f>D14+D16+D15</f>
        <v>312620</v>
      </c>
      <c r="E13" s="123">
        <f>E14+E16+E15</f>
        <v>0</v>
      </c>
      <c r="F13" s="123">
        <f>F14+F16+F15</f>
        <v>0</v>
      </c>
      <c r="G13" s="123">
        <f>G14+G16+G15</f>
        <v>0</v>
      </c>
      <c r="H13" s="124">
        <f>H14+H16+H15</f>
        <v>0</v>
      </c>
    </row>
    <row r="14" spans="1:8" s="8" customFormat="1" ht="30">
      <c r="A14" s="81" t="s">
        <v>168</v>
      </c>
      <c r="B14" s="268" t="s">
        <v>295</v>
      </c>
      <c r="C14" s="125">
        <f t="shared" si="0"/>
        <v>42686</v>
      </c>
      <c r="D14" s="127">
        <v>42686</v>
      </c>
      <c r="E14" s="127"/>
      <c r="F14" s="127"/>
      <c r="G14" s="127"/>
      <c r="H14" s="131"/>
    </row>
    <row r="15" spans="1:8" s="8" customFormat="1" ht="30">
      <c r="A15" s="81" t="s">
        <v>169</v>
      </c>
      <c r="B15" s="268" t="s">
        <v>419</v>
      </c>
      <c r="C15" s="125">
        <f t="shared" si="0"/>
        <v>168349</v>
      </c>
      <c r="D15" s="127">
        <v>168349</v>
      </c>
      <c r="E15" s="127"/>
      <c r="F15" s="127"/>
      <c r="G15" s="127"/>
      <c r="H15" s="128"/>
    </row>
    <row r="16" spans="1:8" s="8" customFormat="1" ht="31.5" customHeight="1">
      <c r="A16" s="81" t="s">
        <v>290</v>
      </c>
      <c r="B16" s="269" t="s">
        <v>247</v>
      </c>
      <c r="C16" s="125">
        <f>SUM(D16+E16+F16+G16+H16)</f>
        <v>101585</v>
      </c>
      <c r="D16" s="127">
        <v>101585</v>
      </c>
      <c r="E16" s="127"/>
      <c r="F16" s="127"/>
      <c r="G16" s="127"/>
      <c r="H16" s="128"/>
    </row>
    <row r="17" spans="1:8" ht="44.25">
      <c r="A17" s="90" t="s">
        <v>49</v>
      </c>
      <c r="B17" s="88" t="s">
        <v>297</v>
      </c>
      <c r="C17" s="125">
        <f t="shared" si="0"/>
        <v>390139</v>
      </c>
      <c r="D17" s="125">
        <v>390139</v>
      </c>
      <c r="E17" s="125"/>
      <c r="F17" s="125"/>
      <c r="G17" s="125"/>
      <c r="H17" s="132"/>
    </row>
    <row r="18" spans="1:8" ht="29.25" hidden="1">
      <c r="A18" s="90" t="s">
        <v>340</v>
      </c>
      <c r="B18" s="88" t="s">
        <v>348</v>
      </c>
      <c r="C18" s="125">
        <f t="shared" si="0"/>
        <v>0</v>
      </c>
      <c r="D18" s="125"/>
      <c r="E18" s="125"/>
      <c r="F18" s="125"/>
      <c r="G18" s="125"/>
      <c r="H18" s="132"/>
    </row>
    <row r="19" spans="1:8" ht="30">
      <c r="A19" s="90" t="s">
        <v>41</v>
      </c>
      <c r="B19" s="88" t="s">
        <v>298</v>
      </c>
      <c r="C19" s="125">
        <f t="shared" si="0"/>
        <v>882181</v>
      </c>
      <c r="D19" s="125">
        <v>882181</v>
      </c>
      <c r="E19" s="125"/>
      <c r="F19" s="125"/>
      <c r="G19" s="129"/>
      <c r="H19" s="135"/>
    </row>
    <row r="20" spans="1:8" ht="28.5">
      <c r="A20" s="90" t="s">
        <v>43</v>
      </c>
      <c r="B20" s="88" t="s">
        <v>11</v>
      </c>
      <c r="C20" s="123">
        <f t="shared" si="0"/>
        <v>2362545</v>
      </c>
      <c r="D20" s="123">
        <f>D21+D22+D23</f>
        <v>1491646</v>
      </c>
      <c r="E20" s="123">
        <f>E21+E22+E23</f>
        <v>0</v>
      </c>
      <c r="F20" s="123">
        <f>F21+F22+F23</f>
        <v>0</v>
      </c>
      <c r="G20" s="133">
        <f>G21+G22+G23</f>
        <v>754122</v>
      </c>
      <c r="H20" s="134">
        <f>H21+H22+H23</f>
        <v>116777</v>
      </c>
    </row>
    <row r="21" spans="1:8" s="42" customFormat="1" ht="30">
      <c r="A21" s="82" t="s">
        <v>69</v>
      </c>
      <c r="B21" s="269" t="s">
        <v>72</v>
      </c>
      <c r="C21" s="129">
        <f>SUM(D21+E21+F21+G21+H21)</f>
        <v>754122</v>
      </c>
      <c r="D21" s="130">
        <v>-116777</v>
      </c>
      <c r="E21" s="130"/>
      <c r="F21" s="130"/>
      <c r="G21" s="130">
        <v>754122</v>
      </c>
      <c r="H21" s="131">
        <v>116777</v>
      </c>
    </row>
    <row r="22" spans="1:8" s="8" customFormat="1" ht="30">
      <c r="A22" s="82" t="s">
        <v>70</v>
      </c>
      <c r="B22" s="269" t="s">
        <v>73</v>
      </c>
      <c r="C22" s="129">
        <f t="shared" si="0"/>
        <v>342411</v>
      </c>
      <c r="D22" s="130">
        <v>342411</v>
      </c>
      <c r="E22" s="130"/>
      <c r="F22" s="130"/>
      <c r="G22" s="130"/>
      <c r="H22" s="131"/>
    </row>
    <row r="23" spans="1:8" s="8" customFormat="1" ht="21" customHeight="1">
      <c r="A23" s="82" t="s">
        <v>71</v>
      </c>
      <c r="B23" s="269" t="s">
        <v>158</v>
      </c>
      <c r="C23" s="129">
        <f t="shared" si="0"/>
        <v>1266012</v>
      </c>
      <c r="D23" s="130">
        <v>1266012</v>
      </c>
      <c r="E23" s="130"/>
      <c r="F23" s="130"/>
      <c r="G23" s="130"/>
      <c r="H23" s="131"/>
    </row>
    <row r="24" spans="1:8" ht="43.5">
      <c r="A24" s="91" t="s">
        <v>44</v>
      </c>
      <c r="B24" s="92" t="s">
        <v>299</v>
      </c>
      <c r="C24" s="129">
        <f t="shared" si="0"/>
        <v>142182</v>
      </c>
      <c r="D24" s="129">
        <f>142752-570</f>
        <v>142182</v>
      </c>
      <c r="E24" s="129"/>
      <c r="F24" s="129"/>
      <c r="G24" s="129"/>
      <c r="H24" s="135"/>
    </row>
    <row r="25" spans="1:8" s="85" customFormat="1" ht="15.75">
      <c r="A25" s="187" t="s">
        <v>33</v>
      </c>
      <c r="B25" s="188" t="s">
        <v>12</v>
      </c>
      <c r="C25" s="189">
        <f t="shared" si="0"/>
        <v>2494254</v>
      </c>
      <c r="D25" s="189">
        <f>SUM(D26+D27)</f>
        <v>2311276</v>
      </c>
      <c r="E25" s="189">
        <f>SUM(E26+E27)</f>
        <v>169976</v>
      </c>
      <c r="F25" s="189">
        <f>SUM(F26+F27)</f>
        <v>0</v>
      </c>
      <c r="G25" s="189">
        <f>SUM(G26+G27)</f>
        <v>0</v>
      </c>
      <c r="H25" s="190">
        <f>SUM(H26+H27)</f>
        <v>13002</v>
      </c>
    </row>
    <row r="26" spans="1:9" ht="30">
      <c r="A26" s="91" t="s">
        <v>45</v>
      </c>
      <c r="B26" s="267" t="s">
        <v>420</v>
      </c>
      <c r="C26" s="129">
        <f t="shared" si="0"/>
        <v>2384010</v>
      </c>
      <c r="D26" s="129">
        <v>2203045</v>
      </c>
      <c r="E26" s="129">
        <v>169976</v>
      </c>
      <c r="F26" s="129"/>
      <c r="G26" s="129"/>
      <c r="H26" s="135">
        <v>10989</v>
      </c>
      <c r="I26" s="93"/>
    </row>
    <row r="27" spans="1:8" ht="28.5">
      <c r="A27" s="90" t="s">
        <v>46</v>
      </c>
      <c r="B27" s="88" t="s">
        <v>74</v>
      </c>
      <c r="C27" s="123">
        <f t="shared" si="0"/>
        <v>110244</v>
      </c>
      <c r="D27" s="123">
        <f>D28+D29</f>
        <v>108231</v>
      </c>
      <c r="E27" s="123">
        <f>E28+E29</f>
        <v>0</v>
      </c>
      <c r="F27" s="123">
        <f>F28+F29</f>
        <v>0</v>
      </c>
      <c r="G27" s="123">
        <f>G28+G29</f>
        <v>0</v>
      </c>
      <c r="H27" s="124">
        <f>H28+H29</f>
        <v>2013</v>
      </c>
    </row>
    <row r="28" spans="1:8" s="8" customFormat="1" ht="15.75">
      <c r="A28" s="81" t="s">
        <v>94</v>
      </c>
      <c r="B28" s="270" t="s">
        <v>350</v>
      </c>
      <c r="C28" s="127">
        <f t="shared" si="0"/>
        <v>107377</v>
      </c>
      <c r="D28" s="127">
        <v>107377</v>
      </c>
      <c r="E28" s="127"/>
      <c r="F28" s="127"/>
      <c r="G28" s="127"/>
      <c r="H28" s="128"/>
    </row>
    <row r="29" spans="1:8" s="8" customFormat="1" ht="60">
      <c r="A29" s="81" t="s">
        <v>336</v>
      </c>
      <c r="B29" s="270" t="s">
        <v>349</v>
      </c>
      <c r="C29" s="127">
        <f t="shared" si="0"/>
        <v>2867</v>
      </c>
      <c r="D29" s="127">
        <v>854</v>
      </c>
      <c r="E29" s="127"/>
      <c r="F29" s="127"/>
      <c r="G29" s="127"/>
      <c r="H29" s="128">
        <v>2013</v>
      </c>
    </row>
    <row r="30" spans="1:8" s="85" customFormat="1" ht="15.75">
      <c r="A30" s="187" t="s">
        <v>34</v>
      </c>
      <c r="B30" s="188" t="s">
        <v>13</v>
      </c>
      <c r="C30" s="189">
        <f aca="true" t="shared" si="1" ref="C30:C38">SUM(D30:H30)</f>
        <v>8521083</v>
      </c>
      <c r="D30" s="189">
        <f>SUM(D31+D38+D41)</f>
        <v>6307184</v>
      </c>
      <c r="E30" s="189">
        <f>SUM(E31+E38+E41)</f>
        <v>84867</v>
      </c>
      <c r="F30" s="189">
        <f>SUM(F31+F38+F41)</f>
        <v>0</v>
      </c>
      <c r="G30" s="189">
        <f>SUM(G31+G38+G41)</f>
        <v>39840</v>
      </c>
      <c r="H30" s="190">
        <f>SUM(H31+H38+H41)</f>
        <v>2089192</v>
      </c>
    </row>
    <row r="31" spans="1:8" ht="15.75">
      <c r="A31" s="94" t="s">
        <v>47</v>
      </c>
      <c r="B31" s="88" t="s">
        <v>48</v>
      </c>
      <c r="C31" s="133">
        <f t="shared" si="1"/>
        <v>4510558</v>
      </c>
      <c r="D31" s="123">
        <f>SUM(D32:D37)</f>
        <v>2622579</v>
      </c>
      <c r="E31" s="123">
        <f>SUM(E32:E37)</f>
        <v>0</v>
      </c>
      <c r="F31" s="123">
        <f>SUM(F32:F37)</f>
        <v>0</v>
      </c>
      <c r="G31" s="123">
        <f>SUM(G32:G37)</f>
        <v>0</v>
      </c>
      <c r="H31" s="124">
        <f>SUM(H32:H37)</f>
        <v>1887979</v>
      </c>
    </row>
    <row r="32" spans="1:8" s="8" customFormat="1" ht="30">
      <c r="A32" s="81" t="s">
        <v>75</v>
      </c>
      <c r="B32" s="268" t="s">
        <v>159</v>
      </c>
      <c r="C32" s="130">
        <f t="shared" si="1"/>
        <v>404013</v>
      </c>
      <c r="D32" s="127">
        <v>404013</v>
      </c>
      <c r="E32" s="127"/>
      <c r="F32" s="127"/>
      <c r="G32" s="127"/>
      <c r="H32" s="128"/>
    </row>
    <row r="33" spans="1:8" s="8" customFormat="1" ht="30">
      <c r="A33" s="81" t="s">
        <v>107</v>
      </c>
      <c r="B33" s="271" t="s">
        <v>88</v>
      </c>
      <c r="C33" s="130">
        <f t="shared" si="1"/>
        <v>1556622</v>
      </c>
      <c r="D33" s="127">
        <v>1556622</v>
      </c>
      <c r="E33" s="127"/>
      <c r="F33" s="127"/>
      <c r="G33" s="127"/>
      <c r="H33" s="131"/>
    </row>
    <row r="34" spans="1:8" s="8" customFormat="1" ht="30">
      <c r="A34" s="82" t="s">
        <v>226</v>
      </c>
      <c r="B34" s="272" t="s">
        <v>320</v>
      </c>
      <c r="C34" s="130">
        <f t="shared" si="1"/>
        <v>0</v>
      </c>
      <c r="D34" s="130">
        <v>-1581</v>
      </c>
      <c r="E34" s="130"/>
      <c r="F34" s="130"/>
      <c r="G34" s="130"/>
      <c r="H34" s="131">
        <v>1581</v>
      </c>
    </row>
    <row r="35" spans="1:8" s="8" customFormat="1" ht="30" hidden="1">
      <c r="A35" s="81" t="s">
        <v>342</v>
      </c>
      <c r="B35" s="271" t="s">
        <v>351</v>
      </c>
      <c r="C35" s="130">
        <f t="shared" si="1"/>
        <v>0</v>
      </c>
      <c r="D35" s="127"/>
      <c r="E35" s="127"/>
      <c r="F35" s="127"/>
      <c r="G35" s="127"/>
      <c r="H35" s="128"/>
    </row>
    <row r="36" spans="1:8" s="8" customFormat="1" ht="45">
      <c r="A36" s="82" t="s">
        <v>396</v>
      </c>
      <c r="B36" s="272" t="s">
        <v>421</v>
      </c>
      <c r="C36" s="130">
        <f t="shared" si="1"/>
        <v>810697</v>
      </c>
      <c r="D36" s="130">
        <v>663525</v>
      </c>
      <c r="E36" s="130"/>
      <c r="F36" s="130"/>
      <c r="G36" s="130"/>
      <c r="H36" s="131">
        <v>147172</v>
      </c>
    </row>
    <row r="37" spans="1:8" s="8" customFormat="1" ht="36" customHeight="1">
      <c r="A37" s="82" t="s">
        <v>397</v>
      </c>
      <c r="B37" s="272" t="s">
        <v>422</v>
      </c>
      <c r="C37" s="130">
        <f t="shared" si="1"/>
        <v>1739226</v>
      </c>
      <c r="D37" s="130"/>
      <c r="E37" s="130"/>
      <c r="F37" s="130"/>
      <c r="G37" s="130"/>
      <c r="H37" s="131">
        <v>1739226</v>
      </c>
    </row>
    <row r="38" spans="1:8" ht="15.75">
      <c r="A38" s="95" t="s">
        <v>108</v>
      </c>
      <c r="B38" s="96" t="s">
        <v>170</v>
      </c>
      <c r="C38" s="123">
        <f t="shared" si="1"/>
        <v>307858</v>
      </c>
      <c r="D38" s="123">
        <f>SUM(D39:D40)</f>
        <v>232340</v>
      </c>
      <c r="E38" s="123">
        <f>SUM(E39:E40)</f>
        <v>64947</v>
      </c>
      <c r="F38" s="123">
        <f>SUM(F39:F40)</f>
        <v>0</v>
      </c>
      <c r="G38" s="123">
        <f>SUM(G39:G40)</f>
        <v>0</v>
      </c>
      <c r="H38" s="124">
        <f>SUM(H39:H40)</f>
        <v>10571</v>
      </c>
    </row>
    <row r="39" spans="1:8" s="8" customFormat="1" ht="30">
      <c r="A39" s="97" t="s">
        <v>179</v>
      </c>
      <c r="B39" s="273" t="s">
        <v>423</v>
      </c>
      <c r="C39" s="130">
        <f t="shared" si="0"/>
        <v>307858</v>
      </c>
      <c r="D39" s="130">
        <v>232340</v>
      </c>
      <c r="E39" s="130">
        <v>64947</v>
      </c>
      <c r="F39" s="130"/>
      <c r="G39" s="130"/>
      <c r="H39" s="131">
        <v>10571</v>
      </c>
    </row>
    <row r="40" spans="1:8" s="8" customFormat="1" ht="30" hidden="1">
      <c r="A40" s="97" t="s">
        <v>343</v>
      </c>
      <c r="B40" s="273" t="s">
        <v>352</v>
      </c>
      <c r="C40" s="130">
        <f t="shared" si="0"/>
        <v>0</v>
      </c>
      <c r="D40" s="130"/>
      <c r="E40" s="130"/>
      <c r="F40" s="130"/>
      <c r="G40" s="130"/>
      <c r="H40" s="131"/>
    </row>
    <row r="41" spans="1:8" s="8" customFormat="1" ht="15.75">
      <c r="A41" s="95" t="s">
        <v>171</v>
      </c>
      <c r="B41" s="213" t="s">
        <v>172</v>
      </c>
      <c r="C41" s="123">
        <f>SUM(D41:H41)</f>
        <v>3702667</v>
      </c>
      <c r="D41" s="123">
        <f>SUM(D42:D50)</f>
        <v>3452265</v>
      </c>
      <c r="E41" s="123">
        <f>SUM(E42:E50)</f>
        <v>19920</v>
      </c>
      <c r="F41" s="123">
        <f>SUM(F42:F50)</f>
        <v>0</v>
      </c>
      <c r="G41" s="123">
        <f>SUM(G42:G50)</f>
        <v>39840</v>
      </c>
      <c r="H41" s="124">
        <f>SUM(H42:H50)</f>
        <v>190642</v>
      </c>
    </row>
    <row r="42" spans="1:8" s="8" customFormat="1" ht="30">
      <c r="A42" s="81" t="s">
        <v>201</v>
      </c>
      <c r="B42" s="268" t="s">
        <v>203</v>
      </c>
      <c r="C42" s="127">
        <f>SUM(D42+E42+F42+G42+H42)</f>
        <v>24189</v>
      </c>
      <c r="D42" s="127">
        <v>24189</v>
      </c>
      <c r="E42" s="127"/>
      <c r="F42" s="127"/>
      <c r="G42" s="127"/>
      <c r="H42" s="128"/>
    </row>
    <row r="43" spans="1:8" s="8" customFormat="1" ht="60">
      <c r="A43" s="98" t="s">
        <v>202</v>
      </c>
      <c r="B43" s="268" t="s">
        <v>204</v>
      </c>
      <c r="C43" s="127">
        <f aca="true" t="shared" si="2" ref="C43:C50">SUM(D43+E43+F43+G43+H43)</f>
        <v>69721</v>
      </c>
      <c r="D43" s="127">
        <v>9961</v>
      </c>
      <c r="E43" s="127">
        <v>19920</v>
      </c>
      <c r="F43" s="127"/>
      <c r="G43" s="127">
        <v>39840</v>
      </c>
      <c r="H43" s="128"/>
    </row>
    <row r="44" spans="1:8" s="8" customFormat="1" ht="30" hidden="1">
      <c r="A44" s="98" t="s">
        <v>227</v>
      </c>
      <c r="B44" s="268" t="s">
        <v>353</v>
      </c>
      <c r="C44" s="127">
        <f t="shared" si="2"/>
        <v>0</v>
      </c>
      <c r="D44" s="127"/>
      <c r="E44" s="127"/>
      <c r="F44" s="127"/>
      <c r="G44" s="127"/>
      <c r="H44" s="128"/>
    </row>
    <row r="45" spans="1:8" s="8" customFormat="1" ht="45" hidden="1">
      <c r="A45" s="98" t="s">
        <v>304</v>
      </c>
      <c r="B45" s="268" t="s">
        <v>321</v>
      </c>
      <c r="C45" s="127">
        <f t="shared" si="2"/>
        <v>0</v>
      </c>
      <c r="D45" s="127"/>
      <c r="E45" s="127"/>
      <c r="F45" s="127"/>
      <c r="G45" s="127"/>
      <c r="H45" s="128"/>
    </row>
    <row r="46" spans="1:8" s="8" customFormat="1" ht="15.75" hidden="1">
      <c r="A46" s="98" t="s">
        <v>301</v>
      </c>
      <c r="B46" s="268" t="s">
        <v>302</v>
      </c>
      <c r="C46" s="127">
        <f t="shared" si="2"/>
        <v>0</v>
      </c>
      <c r="D46" s="127"/>
      <c r="E46" s="127"/>
      <c r="F46" s="127"/>
      <c r="G46" s="127"/>
      <c r="H46" s="128"/>
    </row>
    <row r="47" spans="1:8" s="8" customFormat="1" ht="45">
      <c r="A47" s="98" t="s">
        <v>317</v>
      </c>
      <c r="B47" s="268" t="s">
        <v>424</v>
      </c>
      <c r="C47" s="127">
        <f t="shared" si="2"/>
        <v>2236057</v>
      </c>
      <c r="D47" s="127">
        <v>2227197</v>
      </c>
      <c r="E47" s="127"/>
      <c r="F47" s="127"/>
      <c r="G47" s="127"/>
      <c r="H47" s="128">
        <v>8860</v>
      </c>
    </row>
    <row r="48" spans="1:8" s="8" customFormat="1" ht="60" hidden="1">
      <c r="A48" s="98" t="s">
        <v>318</v>
      </c>
      <c r="B48" s="268" t="s">
        <v>329</v>
      </c>
      <c r="C48" s="127">
        <f t="shared" si="2"/>
        <v>0</v>
      </c>
      <c r="D48" s="127"/>
      <c r="E48" s="127"/>
      <c r="F48" s="127"/>
      <c r="G48" s="127"/>
      <c r="H48" s="128"/>
    </row>
    <row r="49" spans="1:8" s="8" customFormat="1" ht="30" hidden="1">
      <c r="A49" s="98" t="s">
        <v>337</v>
      </c>
      <c r="B49" s="268" t="s">
        <v>354</v>
      </c>
      <c r="C49" s="127">
        <f t="shared" si="2"/>
        <v>0</v>
      </c>
      <c r="D49" s="127"/>
      <c r="E49" s="127"/>
      <c r="F49" s="127"/>
      <c r="G49" s="127"/>
      <c r="H49" s="128"/>
    </row>
    <row r="50" spans="1:8" s="8" customFormat="1" ht="45">
      <c r="A50" s="274" t="s">
        <v>398</v>
      </c>
      <c r="B50" s="269" t="s">
        <v>425</v>
      </c>
      <c r="C50" s="130">
        <f t="shared" si="2"/>
        <v>1372700</v>
      </c>
      <c r="D50" s="130">
        <v>1190918</v>
      </c>
      <c r="E50" s="130"/>
      <c r="F50" s="130"/>
      <c r="G50" s="130"/>
      <c r="H50" s="131">
        <v>181782</v>
      </c>
    </row>
    <row r="51" spans="1:8" s="85" customFormat="1" ht="15.75">
      <c r="A51" s="187" t="s">
        <v>35</v>
      </c>
      <c r="B51" s="188" t="s">
        <v>14</v>
      </c>
      <c r="C51" s="189">
        <f t="shared" si="0"/>
        <v>2030666</v>
      </c>
      <c r="D51" s="189">
        <f>SUM(D52+D55+D56)</f>
        <v>2004440</v>
      </c>
      <c r="E51" s="189">
        <f>SUM(E52+E55+E56)</f>
        <v>0</v>
      </c>
      <c r="F51" s="189">
        <f>SUM(F52+F55+F56)</f>
        <v>0</v>
      </c>
      <c r="G51" s="189">
        <f>SUM(G52+G55+G56)</f>
        <v>0</v>
      </c>
      <c r="H51" s="189">
        <f>SUM(H52+H55+H56)</f>
        <v>26226</v>
      </c>
    </row>
    <row r="52" spans="1:8" ht="15.75">
      <c r="A52" s="90" t="s">
        <v>50</v>
      </c>
      <c r="B52" s="88" t="s">
        <v>51</v>
      </c>
      <c r="C52" s="123">
        <f t="shared" si="0"/>
        <v>1178461</v>
      </c>
      <c r="D52" s="123">
        <f>SUM(D53+D54)</f>
        <v>1178461</v>
      </c>
      <c r="E52" s="123">
        <f>SUM(E53+E54)</f>
        <v>0</v>
      </c>
      <c r="F52" s="123">
        <f>SUM(F53+F54)</f>
        <v>0</v>
      </c>
      <c r="G52" s="123">
        <f>SUM(G53+G54)</f>
        <v>0</v>
      </c>
      <c r="H52" s="124">
        <f>SUM(H53+H54)</f>
        <v>0</v>
      </c>
    </row>
    <row r="53" spans="1:8" s="8" customFormat="1" ht="30">
      <c r="A53" s="81" t="s">
        <v>76</v>
      </c>
      <c r="B53" s="268" t="s">
        <v>355</v>
      </c>
      <c r="C53" s="127">
        <f t="shared" si="0"/>
        <v>924286</v>
      </c>
      <c r="D53" s="127">
        <v>924286</v>
      </c>
      <c r="E53" s="127"/>
      <c r="F53" s="127"/>
      <c r="G53" s="127"/>
      <c r="H53" s="128"/>
    </row>
    <row r="54" spans="1:8" s="8" customFormat="1" ht="30">
      <c r="A54" s="81" t="s">
        <v>174</v>
      </c>
      <c r="B54" s="268" t="s">
        <v>173</v>
      </c>
      <c r="C54" s="127">
        <f t="shared" si="0"/>
        <v>254175</v>
      </c>
      <c r="D54" s="127">
        <v>254175</v>
      </c>
      <c r="E54" s="127"/>
      <c r="F54" s="127"/>
      <c r="G54" s="127"/>
      <c r="H54" s="131"/>
    </row>
    <row r="55" spans="1:8" ht="15.75">
      <c r="A55" s="90" t="s">
        <v>52</v>
      </c>
      <c r="B55" s="88" t="s">
        <v>103</v>
      </c>
      <c r="C55" s="125">
        <f t="shared" si="0"/>
        <v>392798</v>
      </c>
      <c r="D55" s="125">
        <v>392798</v>
      </c>
      <c r="E55" s="125"/>
      <c r="F55" s="125"/>
      <c r="G55" s="125"/>
      <c r="H55" s="132"/>
    </row>
    <row r="56" spans="1:8" ht="15.75">
      <c r="A56" s="90" t="s">
        <v>357</v>
      </c>
      <c r="B56" s="88" t="s">
        <v>358</v>
      </c>
      <c r="C56" s="123">
        <f t="shared" si="0"/>
        <v>459407</v>
      </c>
      <c r="D56" s="123">
        <f>D57+D58</f>
        <v>433181</v>
      </c>
      <c r="E56" s="123">
        <f>E57+E58</f>
        <v>0</v>
      </c>
      <c r="F56" s="123">
        <f>F57+F58</f>
        <v>0</v>
      </c>
      <c r="G56" s="123">
        <f>G57+G58</f>
        <v>0</v>
      </c>
      <c r="H56" s="123">
        <f>H57+H58</f>
        <v>26226</v>
      </c>
    </row>
    <row r="57" spans="1:8" ht="60">
      <c r="A57" s="81" t="s">
        <v>344</v>
      </c>
      <c r="B57" s="268" t="s">
        <v>356</v>
      </c>
      <c r="C57" s="127">
        <f t="shared" si="0"/>
        <v>43984</v>
      </c>
      <c r="D57" s="127">
        <v>34939</v>
      </c>
      <c r="E57" s="127"/>
      <c r="F57" s="127"/>
      <c r="G57" s="127"/>
      <c r="H57" s="128">
        <v>9045</v>
      </c>
    </row>
    <row r="58" spans="1:8" ht="45">
      <c r="A58" s="82" t="s">
        <v>426</v>
      </c>
      <c r="B58" s="269" t="s">
        <v>427</v>
      </c>
      <c r="C58" s="130">
        <f t="shared" si="0"/>
        <v>415423</v>
      </c>
      <c r="D58" s="130">
        <v>398242</v>
      </c>
      <c r="E58" s="130"/>
      <c r="F58" s="130"/>
      <c r="G58" s="130"/>
      <c r="H58" s="131">
        <v>17181</v>
      </c>
    </row>
    <row r="59" spans="1:8" s="85" customFormat="1" ht="15.75">
      <c r="A59" s="187" t="s">
        <v>36</v>
      </c>
      <c r="B59" s="188" t="s">
        <v>197</v>
      </c>
      <c r="C59" s="189">
        <f t="shared" si="0"/>
        <v>3030615</v>
      </c>
      <c r="D59" s="189">
        <f>SUM(D60+D61+D62)</f>
        <v>2871092</v>
      </c>
      <c r="E59" s="189">
        <f>SUM(E60+E61+E62)</f>
        <v>157227</v>
      </c>
      <c r="F59" s="189">
        <f>SUM(F60+F61+F62)</f>
        <v>0</v>
      </c>
      <c r="G59" s="189">
        <f>SUM(G60+G61+G62)</f>
        <v>0</v>
      </c>
      <c r="H59" s="190">
        <f>SUM(H60+H61+H62)</f>
        <v>2296</v>
      </c>
    </row>
    <row r="60" spans="1:8" s="85" customFormat="1" ht="21" customHeight="1">
      <c r="A60" s="90" t="s">
        <v>359</v>
      </c>
      <c r="B60" s="275" t="s">
        <v>428</v>
      </c>
      <c r="C60" s="123">
        <f t="shared" si="0"/>
        <v>222346</v>
      </c>
      <c r="D60" s="125">
        <v>222346</v>
      </c>
      <c r="E60" s="125"/>
      <c r="F60" s="125"/>
      <c r="G60" s="125"/>
      <c r="H60" s="132"/>
    </row>
    <row r="61" spans="1:8" ht="15.75">
      <c r="A61" s="90" t="s">
        <v>53</v>
      </c>
      <c r="B61" s="275" t="s">
        <v>54</v>
      </c>
      <c r="C61" s="123">
        <f t="shared" si="0"/>
        <v>482971</v>
      </c>
      <c r="D61" s="125">
        <v>482971</v>
      </c>
      <c r="E61" s="125"/>
      <c r="F61" s="125"/>
      <c r="G61" s="125"/>
      <c r="H61" s="132"/>
    </row>
    <row r="62" spans="1:8" ht="28.5">
      <c r="A62" s="90" t="s">
        <v>55</v>
      </c>
      <c r="B62" s="88" t="s">
        <v>322</v>
      </c>
      <c r="C62" s="123">
        <f t="shared" si="0"/>
        <v>2325298</v>
      </c>
      <c r="D62" s="123">
        <f>SUM(D63+D64+D65+D66+D67)</f>
        <v>2165775</v>
      </c>
      <c r="E62" s="123">
        <f>SUM(E63+E64+E65+E66+E67)</f>
        <v>157227</v>
      </c>
      <c r="F62" s="123">
        <f>SUM(F63+F64+F65+F66+F67)</f>
        <v>0</v>
      </c>
      <c r="G62" s="123">
        <f>SUM(G63+G64+G65+G66+G67)</f>
        <v>0</v>
      </c>
      <c r="H62" s="124">
        <f>SUM(H63+H64+H65+H66+H67)</f>
        <v>2296</v>
      </c>
    </row>
    <row r="63" spans="1:8" s="8" customFormat="1" ht="15.75">
      <c r="A63" s="81" t="s">
        <v>77</v>
      </c>
      <c r="B63" s="268" t="s">
        <v>429</v>
      </c>
      <c r="C63" s="127">
        <f t="shared" si="0"/>
        <v>896995</v>
      </c>
      <c r="D63" s="127">
        <v>737472</v>
      </c>
      <c r="E63" s="127">
        <v>157227</v>
      </c>
      <c r="F63" s="127"/>
      <c r="G63" s="130"/>
      <c r="H63" s="128">
        <v>2296</v>
      </c>
    </row>
    <row r="64" spans="1:8" s="8" customFormat="1" ht="30.75" customHeight="1">
      <c r="A64" s="81" t="s">
        <v>78</v>
      </c>
      <c r="B64" s="268" t="s">
        <v>104</v>
      </c>
      <c r="C64" s="127">
        <f t="shared" si="0"/>
        <v>845044</v>
      </c>
      <c r="D64" s="127">
        <v>845044</v>
      </c>
      <c r="E64" s="127"/>
      <c r="F64" s="127"/>
      <c r="G64" s="127"/>
      <c r="H64" s="128"/>
    </row>
    <row r="65" spans="1:8" s="8" customFormat="1" ht="30">
      <c r="A65" s="81" t="s">
        <v>82</v>
      </c>
      <c r="B65" s="268" t="s">
        <v>160</v>
      </c>
      <c r="C65" s="127">
        <f t="shared" si="0"/>
        <v>288445</v>
      </c>
      <c r="D65" s="127">
        <v>288445</v>
      </c>
      <c r="E65" s="127"/>
      <c r="F65" s="127"/>
      <c r="G65" s="127"/>
      <c r="H65" s="131"/>
    </row>
    <row r="66" spans="1:8" s="8" customFormat="1" ht="30">
      <c r="A66" s="81" t="s">
        <v>89</v>
      </c>
      <c r="B66" s="268" t="s">
        <v>161</v>
      </c>
      <c r="C66" s="127">
        <f t="shared" si="0"/>
        <v>216008</v>
      </c>
      <c r="D66" s="127">
        <v>216008</v>
      </c>
      <c r="E66" s="127"/>
      <c r="F66" s="127"/>
      <c r="G66" s="127"/>
      <c r="H66" s="128"/>
    </row>
    <row r="67" spans="1:8" s="8" customFormat="1" ht="30">
      <c r="A67" s="81" t="s">
        <v>335</v>
      </c>
      <c r="B67" s="268" t="s">
        <v>360</v>
      </c>
      <c r="C67" s="127">
        <f t="shared" si="0"/>
        <v>78806</v>
      </c>
      <c r="D67" s="127">
        <v>78806</v>
      </c>
      <c r="E67" s="127"/>
      <c r="F67" s="127"/>
      <c r="G67" s="127"/>
      <c r="H67" s="128"/>
    </row>
    <row r="68" spans="1:8" s="8" customFormat="1" ht="15.75">
      <c r="A68" s="187" t="s">
        <v>180</v>
      </c>
      <c r="B68" s="188" t="s">
        <v>181</v>
      </c>
      <c r="C68" s="189">
        <f aca="true" t="shared" si="3" ref="C68:H68">C69+C70+C71+C72+C73</f>
        <v>149275</v>
      </c>
      <c r="D68" s="189">
        <f t="shared" si="3"/>
        <v>149275</v>
      </c>
      <c r="E68" s="189">
        <f t="shared" si="3"/>
        <v>0</v>
      </c>
      <c r="F68" s="189">
        <f t="shared" si="3"/>
        <v>0</v>
      </c>
      <c r="G68" s="189">
        <f t="shared" si="3"/>
        <v>0</v>
      </c>
      <c r="H68" s="190">
        <f t="shared" si="3"/>
        <v>0</v>
      </c>
    </row>
    <row r="69" spans="1:8" s="8" customFormat="1" ht="15.75">
      <c r="A69" s="81" t="s">
        <v>205</v>
      </c>
      <c r="B69" s="268" t="s">
        <v>206</v>
      </c>
      <c r="C69" s="127">
        <f t="shared" si="0"/>
        <v>92060</v>
      </c>
      <c r="D69" s="127">
        <v>92060</v>
      </c>
      <c r="E69" s="127"/>
      <c r="F69" s="127"/>
      <c r="G69" s="127"/>
      <c r="H69" s="128"/>
    </row>
    <row r="70" spans="1:8" s="8" customFormat="1" ht="30">
      <c r="A70" s="81" t="s">
        <v>207</v>
      </c>
      <c r="B70" s="268" t="s">
        <v>208</v>
      </c>
      <c r="C70" s="127">
        <f t="shared" si="0"/>
        <v>15652</v>
      </c>
      <c r="D70" s="127">
        <v>15652</v>
      </c>
      <c r="E70" s="127"/>
      <c r="F70" s="127"/>
      <c r="G70" s="127"/>
      <c r="H70" s="128"/>
    </row>
    <row r="71" spans="1:8" s="8" customFormat="1" ht="15.75">
      <c r="A71" s="81" t="s">
        <v>209</v>
      </c>
      <c r="B71" s="268" t="s">
        <v>210</v>
      </c>
      <c r="C71" s="127">
        <f t="shared" si="0"/>
        <v>38418</v>
      </c>
      <c r="D71" s="127">
        <v>38418</v>
      </c>
      <c r="E71" s="127"/>
      <c r="F71" s="127"/>
      <c r="G71" s="127"/>
      <c r="H71" s="128"/>
    </row>
    <row r="72" spans="1:8" s="8" customFormat="1" ht="15.75">
      <c r="A72" s="81" t="s">
        <v>186</v>
      </c>
      <c r="B72" s="268" t="s">
        <v>361</v>
      </c>
      <c r="C72" s="127">
        <f t="shared" si="0"/>
        <v>3145</v>
      </c>
      <c r="D72" s="127">
        <v>3145</v>
      </c>
      <c r="E72" s="127"/>
      <c r="F72" s="127"/>
      <c r="G72" s="127"/>
      <c r="H72" s="128"/>
    </row>
    <row r="73" spans="1:8" s="8" customFormat="1" ht="30" hidden="1">
      <c r="A73" s="81" t="s">
        <v>345</v>
      </c>
      <c r="B73" s="268" t="s">
        <v>362</v>
      </c>
      <c r="C73" s="127">
        <f t="shared" si="0"/>
        <v>0</v>
      </c>
      <c r="D73" s="127"/>
      <c r="E73" s="127"/>
      <c r="F73" s="127"/>
      <c r="G73" s="127"/>
      <c r="H73" s="128"/>
    </row>
    <row r="74" spans="1:8" s="85" customFormat="1" ht="15.75">
      <c r="A74" s="187" t="s">
        <v>37</v>
      </c>
      <c r="B74" s="188" t="s">
        <v>15</v>
      </c>
      <c r="C74" s="189">
        <f t="shared" si="0"/>
        <v>5033876</v>
      </c>
      <c r="D74" s="189">
        <f>SUM(D75+D79+D94+D95)</f>
        <v>4627123</v>
      </c>
      <c r="E74" s="189">
        <f>SUM(E75+E79+E94+E95)</f>
        <v>342065</v>
      </c>
      <c r="F74" s="189">
        <f>SUM(F75+F79+F94+F95)</f>
        <v>28440</v>
      </c>
      <c r="G74" s="189">
        <f>SUM(G75+G79+G94+G95)</f>
        <v>18090</v>
      </c>
      <c r="H74" s="190">
        <f>SUM(H75+H79+H94+H95)</f>
        <v>18158</v>
      </c>
    </row>
    <row r="75" spans="1:8" ht="15.75">
      <c r="A75" s="90" t="s">
        <v>58</v>
      </c>
      <c r="B75" s="88" t="s">
        <v>59</v>
      </c>
      <c r="C75" s="123">
        <f t="shared" si="0"/>
        <v>997614</v>
      </c>
      <c r="D75" s="123">
        <f>SUM(D76+D77+D78)</f>
        <v>948706</v>
      </c>
      <c r="E75" s="123">
        <f>SUM(E76+E77+E78)</f>
        <v>34148</v>
      </c>
      <c r="F75" s="123">
        <f>SUM(F76+F77+F78)</f>
        <v>10000</v>
      </c>
      <c r="G75" s="123">
        <f>SUM(G76+G77+G78)</f>
        <v>0</v>
      </c>
      <c r="H75" s="124">
        <f>SUM(H76+H77+H78)</f>
        <v>4760</v>
      </c>
    </row>
    <row r="76" spans="1:8" s="8" customFormat="1" ht="30">
      <c r="A76" s="81" t="s">
        <v>80</v>
      </c>
      <c r="B76" s="268" t="s">
        <v>430</v>
      </c>
      <c r="C76" s="127">
        <f t="shared" si="0"/>
        <v>497516</v>
      </c>
      <c r="D76" s="127">
        <v>448608</v>
      </c>
      <c r="E76" s="127">
        <v>34148</v>
      </c>
      <c r="F76" s="127">
        <v>10000</v>
      </c>
      <c r="G76" s="127"/>
      <c r="H76" s="128">
        <v>4760</v>
      </c>
    </row>
    <row r="77" spans="1:8" s="8" customFormat="1" ht="15.75">
      <c r="A77" s="81" t="s">
        <v>81</v>
      </c>
      <c r="B77" s="268" t="s">
        <v>162</v>
      </c>
      <c r="C77" s="127">
        <f t="shared" si="0"/>
        <v>495118</v>
      </c>
      <c r="D77" s="127">
        <v>495118</v>
      </c>
      <c r="E77" s="127"/>
      <c r="F77" s="127"/>
      <c r="G77" s="127"/>
      <c r="H77" s="128"/>
    </row>
    <row r="78" spans="1:8" s="8" customFormat="1" ht="30">
      <c r="A78" s="81" t="s">
        <v>231</v>
      </c>
      <c r="B78" s="268" t="s">
        <v>333</v>
      </c>
      <c r="C78" s="127">
        <f t="shared" si="0"/>
        <v>4980</v>
      </c>
      <c r="D78" s="127">
        <v>4980</v>
      </c>
      <c r="E78" s="127"/>
      <c r="F78" s="127"/>
      <c r="G78" s="127"/>
      <c r="H78" s="128"/>
    </row>
    <row r="79" spans="1:8" ht="15.75">
      <c r="A79" s="90" t="s">
        <v>60</v>
      </c>
      <c r="B79" s="88" t="s">
        <v>61</v>
      </c>
      <c r="C79" s="123">
        <f t="shared" si="0"/>
        <v>3488680</v>
      </c>
      <c r="D79" s="123">
        <f>D80+D81+D83+D86+D90</f>
        <v>3143072</v>
      </c>
      <c r="E79" s="123">
        <f>E80+E81+E83+E86+E90</f>
        <v>295823</v>
      </c>
      <c r="F79" s="123">
        <f>F80+F81+F83+F86+F90</f>
        <v>18440</v>
      </c>
      <c r="G79" s="123">
        <f>G80+G81+G83+G86+G90</f>
        <v>18090</v>
      </c>
      <c r="H79" s="124">
        <f>H80+H81+H83+H86+H90</f>
        <v>13255</v>
      </c>
    </row>
    <row r="80" spans="1:8" ht="30">
      <c r="A80" s="90" t="s">
        <v>62</v>
      </c>
      <c r="B80" s="275" t="s">
        <v>431</v>
      </c>
      <c r="C80" s="129">
        <f>SUM(D80+E80+F80+G80+H80)</f>
        <v>683919</v>
      </c>
      <c r="D80" s="129">
        <v>657711</v>
      </c>
      <c r="E80" s="129">
        <v>8118</v>
      </c>
      <c r="F80" s="129"/>
      <c r="G80" s="129">
        <v>18090</v>
      </c>
      <c r="H80" s="135"/>
    </row>
    <row r="81" spans="1:8" ht="15.75" hidden="1">
      <c r="A81" s="90" t="s">
        <v>63</v>
      </c>
      <c r="B81" s="88" t="s">
        <v>363</v>
      </c>
      <c r="C81" s="123">
        <f>SUM(D81+E81+F81+G81+H81)</f>
        <v>389455</v>
      </c>
      <c r="D81" s="123">
        <f>D82</f>
        <v>373268</v>
      </c>
      <c r="E81" s="123">
        <f>E82</f>
        <v>7399</v>
      </c>
      <c r="F81" s="123">
        <f>F82</f>
        <v>0</v>
      </c>
      <c r="G81" s="123">
        <f>G82</f>
        <v>0</v>
      </c>
      <c r="H81" s="124">
        <f>H82</f>
        <v>8788</v>
      </c>
    </row>
    <row r="82" spans="1:8" s="8" customFormat="1" ht="30">
      <c r="A82" s="90" t="s">
        <v>106</v>
      </c>
      <c r="B82" s="275" t="s">
        <v>432</v>
      </c>
      <c r="C82" s="127">
        <f>SUM(D82+E82+F82+G82+H82)</f>
        <v>389455</v>
      </c>
      <c r="D82" s="127">
        <v>373268</v>
      </c>
      <c r="E82" s="127">
        <v>7399</v>
      </c>
      <c r="F82" s="127"/>
      <c r="G82" s="127"/>
      <c r="H82" s="128">
        <v>8788</v>
      </c>
    </row>
    <row r="83" spans="1:8" ht="15.75">
      <c r="A83" s="90" t="s">
        <v>64</v>
      </c>
      <c r="B83" s="88" t="s">
        <v>316</v>
      </c>
      <c r="C83" s="123">
        <f t="shared" si="0"/>
        <v>1700687</v>
      </c>
      <c r="D83" s="123">
        <f>SUM(D84:D85)</f>
        <v>1415914</v>
      </c>
      <c r="E83" s="123">
        <f>SUM(E84:E85)</f>
        <v>280306</v>
      </c>
      <c r="F83" s="123">
        <f>SUM(F84:F85)</f>
        <v>0</v>
      </c>
      <c r="G83" s="123">
        <f>SUM(G84:G85)</f>
        <v>0</v>
      </c>
      <c r="H83" s="124">
        <f>SUM(H84:H85)</f>
        <v>4467</v>
      </c>
    </row>
    <row r="84" spans="1:8" ht="15.75">
      <c r="A84" s="82" t="s">
        <v>237</v>
      </c>
      <c r="B84" s="269" t="s">
        <v>433</v>
      </c>
      <c r="C84" s="50">
        <f t="shared" si="0"/>
        <v>1229745</v>
      </c>
      <c r="D84" s="50">
        <v>1101488</v>
      </c>
      <c r="E84" s="50">
        <v>123790</v>
      </c>
      <c r="F84" s="50"/>
      <c r="G84" s="50"/>
      <c r="H84" s="147">
        <v>4467</v>
      </c>
    </row>
    <row r="85" spans="1:8" ht="15.75">
      <c r="A85" s="97" t="s">
        <v>238</v>
      </c>
      <c r="B85" s="268" t="s">
        <v>364</v>
      </c>
      <c r="C85" s="44">
        <f t="shared" si="0"/>
        <v>470942</v>
      </c>
      <c r="D85" s="44">
        <v>314426</v>
      </c>
      <c r="E85" s="44">
        <v>156516</v>
      </c>
      <c r="F85" s="44"/>
      <c r="G85" s="44"/>
      <c r="H85" s="45"/>
    </row>
    <row r="86" spans="1:8" ht="15.75">
      <c r="A86" s="90" t="s">
        <v>65</v>
      </c>
      <c r="B86" s="88" t="s">
        <v>111</v>
      </c>
      <c r="C86" s="123">
        <f t="shared" si="0"/>
        <v>122343</v>
      </c>
      <c r="D86" s="123">
        <f>SUM(D87:D89)</f>
        <v>122343</v>
      </c>
      <c r="E86" s="123">
        <f>SUM(E87:E89)</f>
        <v>0</v>
      </c>
      <c r="F86" s="123">
        <f>SUM(F87:F89)</f>
        <v>0</v>
      </c>
      <c r="G86" s="123">
        <f>SUM(G87:G89)</f>
        <v>0</v>
      </c>
      <c r="H86" s="124">
        <f>SUM(H87:H89)</f>
        <v>0</v>
      </c>
    </row>
    <row r="87" spans="1:8" ht="15.75">
      <c r="A87" s="81" t="s">
        <v>228</v>
      </c>
      <c r="B87" s="268" t="s">
        <v>229</v>
      </c>
      <c r="C87" s="44">
        <f t="shared" si="0"/>
        <v>59867</v>
      </c>
      <c r="D87" s="44">
        <v>59867</v>
      </c>
      <c r="E87" s="44"/>
      <c r="F87" s="44"/>
      <c r="G87" s="44"/>
      <c r="H87" s="45"/>
    </row>
    <row r="88" spans="1:8" ht="15.75">
      <c r="A88" s="81" t="s">
        <v>338</v>
      </c>
      <c r="B88" s="268" t="s">
        <v>365</v>
      </c>
      <c r="C88" s="44">
        <f t="shared" si="0"/>
        <v>44100</v>
      </c>
      <c r="D88" s="44">
        <v>44100</v>
      </c>
      <c r="E88" s="44"/>
      <c r="F88" s="44"/>
      <c r="G88" s="44"/>
      <c r="H88" s="45"/>
    </row>
    <row r="89" spans="1:8" ht="20.25" customHeight="1">
      <c r="A89" s="81" t="s">
        <v>232</v>
      </c>
      <c r="B89" s="268" t="s">
        <v>233</v>
      </c>
      <c r="C89" s="44">
        <f>SUM(D89+E89+F89+G89+H89)</f>
        <v>18376</v>
      </c>
      <c r="D89" s="44">
        <v>18376</v>
      </c>
      <c r="E89" s="44"/>
      <c r="F89" s="44"/>
      <c r="G89" s="44"/>
      <c r="H89" s="45"/>
    </row>
    <row r="90" spans="1:8" ht="15.75">
      <c r="A90" s="90" t="s">
        <v>66</v>
      </c>
      <c r="B90" s="88" t="s">
        <v>166</v>
      </c>
      <c r="C90" s="123">
        <f aca="true" t="shared" si="4" ref="C90:C163">SUM(D90+E90+F90+G90+H90)</f>
        <v>592276</v>
      </c>
      <c r="D90" s="123">
        <f>SUM(D91:D93)</f>
        <v>573836</v>
      </c>
      <c r="E90" s="123">
        <f>SUM(E91:E93)</f>
        <v>0</v>
      </c>
      <c r="F90" s="123">
        <f>SUM(F91:F93)</f>
        <v>18440</v>
      </c>
      <c r="G90" s="123">
        <f>SUM(G91:G93)</f>
        <v>0</v>
      </c>
      <c r="H90" s="124">
        <f>SUM(H91:H93)</f>
        <v>0</v>
      </c>
    </row>
    <row r="91" spans="1:8" s="8" customFormat="1" ht="15.75">
      <c r="A91" s="81" t="s">
        <v>91</v>
      </c>
      <c r="B91" s="268" t="s">
        <v>163</v>
      </c>
      <c r="C91" s="127">
        <f t="shared" si="4"/>
        <v>323774</v>
      </c>
      <c r="D91" s="127">
        <v>305334</v>
      </c>
      <c r="E91" s="127"/>
      <c r="F91" s="127">
        <v>18440</v>
      </c>
      <c r="G91" s="127"/>
      <c r="H91" s="128"/>
    </row>
    <row r="92" spans="1:8" s="8" customFormat="1" ht="15.75">
      <c r="A92" s="81" t="s">
        <v>92</v>
      </c>
      <c r="B92" s="268" t="s">
        <v>164</v>
      </c>
      <c r="C92" s="127">
        <f t="shared" si="4"/>
        <v>268502</v>
      </c>
      <c r="D92" s="127">
        <f>267932+570</f>
        <v>268502</v>
      </c>
      <c r="E92" s="127"/>
      <c r="F92" s="127"/>
      <c r="G92" s="127"/>
      <c r="H92" s="128"/>
    </row>
    <row r="93" spans="1:8" s="8" customFormat="1" ht="60" hidden="1">
      <c r="A93" s="81" t="s">
        <v>305</v>
      </c>
      <c r="B93" s="268" t="s">
        <v>306</v>
      </c>
      <c r="C93" s="127">
        <f t="shared" si="4"/>
        <v>0</v>
      </c>
      <c r="D93" s="127"/>
      <c r="E93" s="127"/>
      <c r="F93" s="127"/>
      <c r="G93" s="127"/>
      <c r="H93" s="128"/>
    </row>
    <row r="94" spans="1:8" ht="15.75">
      <c r="A94" s="90" t="s">
        <v>90</v>
      </c>
      <c r="B94" s="275" t="s">
        <v>434</v>
      </c>
      <c r="C94" s="125">
        <f t="shared" si="4"/>
        <v>346461</v>
      </c>
      <c r="D94" s="125">
        <v>334224</v>
      </c>
      <c r="E94" s="125">
        <v>12094</v>
      </c>
      <c r="F94" s="125"/>
      <c r="G94" s="125"/>
      <c r="H94" s="132">
        <v>143</v>
      </c>
    </row>
    <row r="95" spans="1:8" ht="28.5">
      <c r="A95" s="90" t="s">
        <v>67</v>
      </c>
      <c r="B95" s="88" t="s">
        <v>243</v>
      </c>
      <c r="C95" s="123">
        <f t="shared" si="4"/>
        <v>201121</v>
      </c>
      <c r="D95" s="123">
        <f>SUM(D96:D99)</f>
        <v>201121</v>
      </c>
      <c r="E95" s="123">
        <f>SUM(E96:E99)</f>
        <v>0</v>
      </c>
      <c r="F95" s="123">
        <f>SUM(F96:F99)</f>
        <v>0</v>
      </c>
      <c r="G95" s="123">
        <f>SUM(G96:G99)</f>
        <v>0</v>
      </c>
      <c r="H95" s="124">
        <f>SUM(H96:H99)</f>
        <v>0</v>
      </c>
    </row>
    <row r="96" spans="1:8" ht="15.75">
      <c r="A96" s="81" t="s">
        <v>234</v>
      </c>
      <c r="B96" s="268" t="s">
        <v>323</v>
      </c>
      <c r="C96" s="44">
        <f t="shared" si="4"/>
        <v>42686</v>
      </c>
      <c r="D96" s="44">
        <f>42686</f>
        <v>42686</v>
      </c>
      <c r="E96" s="44"/>
      <c r="F96" s="44"/>
      <c r="G96" s="44"/>
      <c r="H96" s="45"/>
    </row>
    <row r="97" spans="1:8" ht="15.75">
      <c r="A97" s="81" t="s">
        <v>235</v>
      </c>
      <c r="B97" s="268" t="s">
        <v>240</v>
      </c>
      <c r="C97" s="44">
        <f t="shared" si="4"/>
        <v>11668</v>
      </c>
      <c r="D97" s="44">
        <v>11668</v>
      </c>
      <c r="E97" s="44"/>
      <c r="F97" s="44"/>
      <c r="G97" s="44"/>
      <c r="H97" s="45"/>
    </row>
    <row r="98" spans="1:8" ht="30">
      <c r="A98" s="81" t="s">
        <v>239</v>
      </c>
      <c r="B98" s="268" t="s">
        <v>241</v>
      </c>
      <c r="C98" s="44">
        <f t="shared" si="4"/>
        <v>4269</v>
      </c>
      <c r="D98" s="44">
        <v>4269</v>
      </c>
      <c r="E98" s="44"/>
      <c r="F98" s="44"/>
      <c r="G98" s="44"/>
      <c r="H98" s="45"/>
    </row>
    <row r="99" spans="1:8" ht="30">
      <c r="A99" s="81" t="s">
        <v>242</v>
      </c>
      <c r="B99" s="268" t="s">
        <v>435</v>
      </c>
      <c r="C99" s="44">
        <f t="shared" si="4"/>
        <v>142498</v>
      </c>
      <c r="D99" s="44">
        <v>142498</v>
      </c>
      <c r="E99" s="44"/>
      <c r="F99" s="44"/>
      <c r="G99" s="44"/>
      <c r="H99" s="45"/>
    </row>
    <row r="100" spans="1:8" s="85" customFormat="1" ht="15.75">
      <c r="A100" s="187" t="s">
        <v>38</v>
      </c>
      <c r="B100" s="188" t="s">
        <v>16</v>
      </c>
      <c r="C100" s="189">
        <f t="shared" si="4"/>
        <v>23598148</v>
      </c>
      <c r="D100" s="189">
        <f>SUM(D101+D106+D114+D119+D122+D125)</f>
        <v>15647887</v>
      </c>
      <c r="E100" s="189">
        <f>SUM(E101+E106+E114+E119+E122+E125)</f>
        <v>476966</v>
      </c>
      <c r="F100" s="189">
        <f>SUM(F101+F106+F114+F119+F122+F125)</f>
        <v>6567190</v>
      </c>
      <c r="G100" s="189">
        <f>SUM(G101+G106+G114+G119+G122+G125)</f>
        <v>7826</v>
      </c>
      <c r="H100" s="190">
        <f>SUM(H101+H106+H114+H119+H122+H125)</f>
        <v>898279</v>
      </c>
    </row>
    <row r="101" spans="1:8" ht="15.75">
      <c r="A101" s="90" t="s">
        <v>109</v>
      </c>
      <c r="B101" s="88" t="s">
        <v>366</v>
      </c>
      <c r="C101" s="123">
        <f t="shared" si="4"/>
        <v>7927147</v>
      </c>
      <c r="D101" s="123">
        <f>SUM(D102:D105)</f>
        <v>7135360</v>
      </c>
      <c r="E101" s="123">
        <f>SUM(E102:E105)</f>
        <v>29282</v>
      </c>
      <c r="F101" s="123">
        <f>SUM(F102:F105)</f>
        <v>460717</v>
      </c>
      <c r="G101" s="123">
        <f>SUM(G102:G105)</f>
        <v>0</v>
      </c>
      <c r="H101" s="124">
        <f>SUM(H102:H105)</f>
        <v>301788</v>
      </c>
    </row>
    <row r="102" spans="1:10" s="8" customFormat="1" ht="15.75">
      <c r="A102" s="81" t="s">
        <v>211</v>
      </c>
      <c r="B102" s="268" t="s">
        <v>324</v>
      </c>
      <c r="C102" s="127">
        <f t="shared" si="4"/>
        <v>4454070</v>
      </c>
      <c r="D102" s="127">
        <v>3903359</v>
      </c>
      <c r="E102" s="127">
        <v>29282</v>
      </c>
      <c r="F102" s="127">
        <v>460717</v>
      </c>
      <c r="G102" s="127"/>
      <c r="H102" s="131">
        <v>60712</v>
      </c>
      <c r="I102" s="122"/>
      <c r="J102" s="122"/>
    </row>
    <row r="103" spans="1:10" s="8" customFormat="1" ht="30">
      <c r="A103" s="81" t="s">
        <v>368</v>
      </c>
      <c r="B103" s="268" t="s">
        <v>367</v>
      </c>
      <c r="C103" s="127">
        <f t="shared" si="4"/>
        <v>62749</v>
      </c>
      <c r="D103" s="127">
        <v>62749</v>
      </c>
      <c r="E103" s="127"/>
      <c r="F103" s="127"/>
      <c r="G103" s="127"/>
      <c r="H103" s="131"/>
      <c r="I103" s="122"/>
      <c r="J103" s="122"/>
    </row>
    <row r="104" spans="1:10" s="8" customFormat="1" ht="30">
      <c r="A104" s="82" t="s">
        <v>395</v>
      </c>
      <c r="B104" s="269" t="s">
        <v>436</v>
      </c>
      <c r="C104" s="127">
        <f t="shared" si="4"/>
        <v>123881</v>
      </c>
      <c r="D104" s="127">
        <v>123881</v>
      </c>
      <c r="E104" s="127"/>
      <c r="F104" s="127"/>
      <c r="G104" s="127"/>
      <c r="H104" s="131"/>
      <c r="I104" s="122"/>
      <c r="J104" s="122"/>
    </row>
    <row r="105" spans="1:10" s="8" customFormat="1" ht="32.25" customHeight="1">
      <c r="A105" s="82" t="s">
        <v>438</v>
      </c>
      <c r="B105" s="269" t="s">
        <v>437</v>
      </c>
      <c r="C105" s="127">
        <f t="shared" si="4"/>
        <v>3286447</v>
      </c>
      <c r="D105" s="127">
        <f>1921403+1123968</f>
        <v>3045371</v>
      </c>
      <c r="E105" s="127"/>
      <c r="F105" s="127"/>
      <c r="G105" s="127"/>
      <c r="H105" s="131">
        <v>241076</v>
      </c>
      <c r="I105" s="122"/>
      <c r="J105" s="122"/>
    </row>
    <row r="106" spans="1:8" ht="15.75">
      <c r="A106" s="90" t="s">
        <v>112</v>
      </c>
      <c r="B106" s="88" t="s">
        <v>113</v>
      </c>
      <c r="C106" s="123">
        <f t="shared" si="4"/>
        <v>11309640</v>
      </c>
      <c r="D106" s="123">
        <f>SUM(D107+D111)</f>
        <v>5279935</v>
      </c>
      <c r="E106" s="123">
        <f>SUM(E107+E111)</f>
        <v>153294</v>
      </c>
      <c r="F106" s="123">
        <f>SUM(F107+F111)</f>
        <v>5445445</v>
      </c>
      <c r="G106" s="123">
        <f>SUM(G107+G111)</f>
        <v>7826</v>
      </c>
      <c r="H106" s="124">
        <f>SUM(H107+H111)</f>
        <v>423140</v>
      </c>
    </row>
    <row r="107" spans="1:8" ht="15.75">
      <c r="A107" s="120" t="s">
        <v>230</v>
      </c>
      <c r="B107" s="88" t="s">
        <v>369</v>
      </c>
      <c r="C107" s="123">
        <f t="shared" si="4"/>
        <v>10483916</v>
      </c>
      <c r="D107" s="123">
        <f>SUM(D108:D110)</f>
        <v>4816936</v>
      </c>
      <c r="E107" s="123">
        <f>SUM(E108:E110)</f>
        <v>140061</v>
      </c>
      <c r="F107" s="123">
        <f>SUM(F108:F110)</f>
        <v>5152537</v>
      </c>
      <c r="G107" s="123">
        <f>SUM(G108:G110)</f>
        <v>0</v>
      </c>
      <c r="H107" s="124">
        <f>SUM(H108:H110)</f>
        <v>374382</v>
      </c>
    </row>
    <row r="108" spans="1:8" ht="15.75">
      <c r="A108" s="81" t="s">
        <v>370</v>
      </c>
      <c r="B108" s="268" t="s">
        <v>441</v>
      </c>
      <c r="C108" s="127">
        <f t="shared" si="4"/>
        <v>9065105</v>
      </c>
      <c r="D108" s="127">
        <v>4661948</v>
      </c>
      <c r="E108" s="127">
        <v>125894</v>
      </c>
      <c r="F108" s="127">
        <v>4058270</v>
      </c>
      <c r="G108" s="127"/>
      <c r="H108" s="128">
        <v>218993</v>
      </c>
    </row>
    <row r="109" spans="1:8" s="8" customFormat="1" ht="30">
      <c r="A109" s="81" t="s">
        <v>371</v>
      </c>
      <c r="B109" s="268" t="s">
        <v>439</v>
      </c>
      <c r="C109" s="127">
        <f>SUM(D109+E109+F109+G109+H109)</f>
        <v>1350666</v>
      </c>
      <c r="D109" s="127">
        <v>154988</v>
      </c>
      <c r="E109" s="127">
        <v>7669</v>
      </c>
      <c r="F109" s="127">
        <v>1081667</v>
      </c>
      <c r="G109" s="127"/>
      <c r="H109" s="128">
        <v>106342</v>
      </c>
    </row>
    <row r="110" spans="1:8" s="8" customFormat="1" ht="21.75" customHeight="1">
      <c r="A110" s="81" t="s">
        <v>346</v>
      </c>
      <c r="B110" s="268" t="s">
        <v>440</v>
      </c>
      <c r="C110" s="127">
        <f>SUM(D110+E110+F110+G110+H110)</f>
        <v>68145</v>
      </c>
      <c r="D110" s="127"/>
      <c r="E110" s="127">
        <v>6498</v>
      </c>
      <c r="F110" s="127">
        <v>12600</v>
      </c>
      <c r="G110" s="127"/>
      <c r="H110" s="128">
        <v>49047</v>
      </c>
    </row>
    <row r="111" spans="1:8" ht="15.75">
      <c r="A111" s="90" t="s">
        <v>212</v>
      </c>
      <c r="B111" s="88" t="s">
        <v>213</v>
      </c>
      <c r="C111" s="123">
        <f>SUM(D111:H111)</f>
        <v>825724</v>
      </c>
      <c r="D111" s="123">
        <f>SUM(D112:D113)</f>
        <v>462999</v>
      </c>
      <c r="E111" s="123">
        <f>SUM(E112:E113)</f>
        <v>13233</v>
      </c>
      <c r="F111" s="123">
        <f>SUM(F112:F113)</f>
        <v>292908</v>
      </c>
      <c r="G111" s="123">
        <f>SUM(G112:G113)</f>
        <v>7826</v>
      </c>
      <c r="H111" s="124">
        <f>SUM(H112:H113)</f>
        <v>48758</v>
      </c>
    </row>
    <row r="112" spans="1:8" s="86" customFormat="1" ht="15.75">
      <c r="A112" s="81" t="s">
        <v>373</v>
      </c>
      <c r="B112" s="268" t="s">
        <v>442</v>
      </c>
      <c r="C112" s="127">
        <f t="shared" si="4"/>
        <v>787810</v>
      </c>
      <c r="D112" s="127">
        <v>462999</v>
      </c>
      <c r="E112" s="127">
        <v>13233</v>
      </c>
      <c r="F112" s="127">
        <v>292908</v>
      </c>
      <c r="G112" s="127">
        <v>7826</v>
      </c>
      <c r="H112" s="131">
        <v>10844</v>
      </c>
    </row>
    <row r="113" spans="1:8" s="86" customFormat="1" ht="15.75">
      <c r="A113" s="81" t="s">
        <v>374</v>
      </c>
      <c r="B113" s="268" t="s">
        <v>372</v>
      </c>
      <c r="C113" s="127">
        <f t="shared" si="4"/>
        <v>37914</v>
      </c>
      <c r="D113" s="127"/>
      <c r="E113" s="127"/>
      <c r="F113" s="127"/>
      <c r="G113" s="127"/>
      <c r="H113" s="131">
        <v>37914</v>
      </c>
    </row>
    <row r="114" spans="1:8" ht="15.75">
      <c r="A114" s="90" t="s">
        <v>93</v>
      </c>
      <c r="B114" s="88" t="s">
        <v>114</v>
      </c>
      <c r="C114" s="123">
        <f>SUM(D114+E114+F114+G114+H114)</f>
        <v>2573622</v>
      </c>
      <c r="D114" s="123">
        <f>SUM(D115:D118)</f>
        <v>1847250</v>
      </c>
      <c r="E114" s="123">
        <f>SUM(E115:E118)</f>
        <v>158791</v>
      </c>
      <c r="F114" s="123">
        <f>SUM(F115:F118)</f>
        <v>518741</v>
      </c>
      <c r="G114" s="123">
        <f>SUM(G115:G118)</f>
        <v>0</v>
      </c>
      <c r="H114" s="124">
        <f>SUM(H115:H118)</f>
        <v>48840</v>
      </c>
    </row>
    <row r="115" spans="1:8" s="8" customFormat="1" ht="30">
      <c r="A115" s="81" t="s">
        <v>95</v>
      </c>
      <c r="B115" s="269" t="s">
        <v>375</v>
      </c>
      <c r="C115" s="130">
        <f t="shared" si="4"/>
        <v>741706</v>
      </c>
      <c r="D115" s="130">
        <v>456862</v>
      </c>
      <c r="E115" s="130">
        <v>54438</v>
      </c>
      <c r="F115" s="130">
        <v>221999</v>
      </c>
      <c r="G115" s="130"/>
      <c r="H115" s="128">
        <v>8407</v>
      </c>
    </row>
    <row r="116" spans="1:8" s="8" customFormat="1" ht="15.75">
      <c r="A116" s="81" t="s">
        <v>96</v>
      </c>
      <c r="B116" s="269" t="s">
        <v>443</v>
      </c>
      <c r="C116" s="130">
        <f>SUM(D116+E116+F116+G116+H116)</f>
        <v>204613</v>
      </c>
      <c r="D116" s="130">
        <v>121965</v>
      </c>
      <c r="E116" s="130">
        <v>15709</v>
      </c>
      <c r="F116" s="130">
        <f>63217+31</f>
        <v>63248</v>
      </c>
      <c r="G116" s="130"/>
      <c r="H116" s="128">
        <v>3691</v>
      </c>
    </row>
    <row r="117" spans="1:8" s="8" customFormat="1" ht="15.75">
      <c r="A117" s="81" t="s">
        <v>115</v>
      </c>
      <c r="B117" s="269" t="s">
        <v>300</v>
      </c>
      <c r="C117" s="130">
        <f>SUM(D117+E117+F117+G117+H117)</f>
        <v>1607228</v>
      </c>
      <c r="D117" s="130">
        <v>1268423</v>
      </c>
      <c r="E117" s="130">
        <v>88644</v>
      </c>
      <c r="F117" s="130">
        <v>230201</v>
      </c>
      <c r="G117" s="130"/>
      <c r="H117" s="128">
        <v>19960</v>
      </c>
    </row>
    <row r="118" spans="1:8" s="8" customFormat="1" ht="30">
      <c r="A118" s="81" t="s">
        <v>347</v>
      </c>
      <c r="B118" s="269" t="s">
        <v>444</v>
      </c>
      <c r="C118" s="130">
        <f>SUM(D118+E118+F118+G118+H118)</f>
        <v>20075</v>
      </c>
      <c r="D118" s="130"/>
      <c r="E118" s="130"/>
      <c r="F118" s="130">
        <v>3293</v>
      </c>
      <c r="G118" s="130"/>
      <c r="H118" s="128">
        <v>16782</v>
      </c>
    </row>
    <row r="119" spans="1:8" s="8" customFormat="1" ht="15.75">
      <c r="A119" s="90" t="s">
        <v>214</v>
      </c>
      <c r="B119" s="92" t="s">
        <v>215</v>
      </c>
      <c r="C119" s="133">
        <f aca="true" t="shared" si="5" ref="C119:C124">SUM(D119+E119+F119+G119+H119)</f>
        <v>1048427</v>
      </c>
      <c r="D119" s="133">
        <f>SUM(D120+D121)</f>
        <v>666057</v>
      </c>
      <c r="E119" s="133">
        <f>SUM(E120+E121)</f>
        <v>135599</v>
      </c>
      <c r="F119" s="133">
        <f>SUM(F120+F121)</f>
        <v>142287</v>
      </c>
      <c r="G119" s="133">
        <f>SUM(G120+G121)</f>
        <v>0</v>
      </c>
      <c r="H119" s="124">
        <f>SUM(H120+H121)</f>
        <v>104484</v>
      </c>
    </row>
    <row r="120" spans="1:8" s="8" customFormat="1" ht="30">
      <c r="A120" s="81" t="s">
        <v>216</v>
      </c>
      <c r="B120" s="268" t="s">
        <v>445</v>
      </c>
      <c r="C120" s="127">
        <f t="shared" si="5"/>
        <v>801669</v>
      </c>
      <c r="D120" s="127">
        <v>666057</v>
      </c>
      <c r="E120" s="127">
        <v>135599</v>
      </c>
      <c r="F120" s="127"/>
      <c r="G120" s="127"/>
      <c r="H120" s="128">
        <v>13</v>
      </c>
    </row>
    <row r="121" spans="1:8" s="8" customFormat="1" ht="30">
      <c r="A121" s="82" t="s">
        <v>217</v>
      </c>
      <c r="B121" s="269" t="s">
        <v>446</v>
      </c>
      <c r="C121" s="127">
        <f t="shared" si="5"/>
        <v>246758</v>
      </c>
      <c r="D121" s="127"/>
      <c r="E121" s="127"/>
      <c r="F121" s="127">
        <v>142287</v>
      </c>
      <c r="G121" s="127"/>
      <c r="H121" s="128">
        <v>104471</v>
      </c>
    </row>
    <row r="122" spans="1:8" s="8" customFormat="1" ht="15.75">
      <c r="A122" s="91" t="s">
        <v>218</v>
      </c>
      <c r="B122" s="92" t="s">
        <v>246</v>
      </c>
      <c r="C122" s="125">
        <f t="shared" si="5"/>
        <v>4269</v>
      </c>
      <c r="D122" s="123">
        <f>SUM(D123:D124)</f>
        <v>4269</v>
      </c>
      <c r="E122" s="123">
        <f>SUM(E123:E124)</f>
        <v>0</v>
      </c>
      <c r="F122" s="123">
        <f>SUM(F123:F124)</f>
        <v>0</v>
      </c>
      <c r="G122" s="123">
        <f>SUM(G123:G124)</f>
        <v>0</v>
      </c>
      <c r="H122" s="124">
        <f>SUM(H123:H124)</f>
        <v>0</v>
      </c>
    </row>
    <row r="123" spans="1:8" s="8" customFormat="1" ht="23.25" customHeight="1">
      <c r="A123" s="82" t="s">
        <v>244</v>
      </c>
      <c r="B123" s="269" t="s">
        <v>376</v>
      </c>
      <c r="C123" s="127">
        <f t="shared" si="5"/>
        <v>2846</v>
      </c>
      <c r="D123" s="127">
        <v>2846</v>
      </c>
      <c r="E123" s="127"/>
      <c r="F123" s="127"/>
      <c r="G123" s="127"/>
      <c r="H123" s="128"/>
    </row>
    <row r="124" spans="1:8" s="8" customFormat="1" ht="15.75">
      <c r="A124" s="82" t="s">
        <v>245</v>
      </c>
      <c r="B124" s="269" t="s">
        <v>377</v>
      </c>
      <c r="C124" s="127">
        <f t="shared" si="5"/>
        <v>1423</v>
      </c>
      <c r="D124" s="127">
        <v>1423</v>
      </c>
      <c r="E124" s="127"/>
      <c r="F124" s="127"/>
      <c r="G124" s="127"/>
      <c r="H124" s="128"/>
    </row>
    <row r="125" spans="1:8" s="8" customFormat="1" ht="15.75">
      <c r="A125" s="91" t="s">
        <v>110</v>
      </c>
      <c r="B125" s="92" t="s">
        <v>185</v>
      </c>
      <c r="C125" s="123">
        <f>SUM(D125+E125+F125+G125+H125)</f>
        <v>735043</v>
      </c>
      <c r="D125" s="123">
        <f>SUM(D126:D128)</f>
        <v>715016</v>
      </c>
      <c r="E125" s="123">
        <f>SUM(E126:E128)</f>
        <v>0</v>
      </c>
      <c r="F125" s="123">
        <f>SUM(F126:F128)</f>
        <v>0</v>
      </c>
      <c r="G125" s="123">
        <f>SUM(G126:G128)</f>
        <v>0</v>
      </c>
      <c r="H125" s="124">
        <f>SUM(H126:H128)</f>
        <v>20027</v>
      </c>
    </row>
    <row r="126" spans="1:8" ht="30">
      <c r="A126" s="82" t="s">
        <v>184</v>
      </c>
      <c r="B126" s="269" t="s">
        <v>447</v>
      </c>
      <c r="C126" s="130">
        <f>SUM(D126+E126+F126+G126+H126)</f>
        <v>676409</v>
      </c>
      <c r="D126" s="130">
        <v>676409</v>
      </c>
      <c r="E126" s="130"/>
      <c r="F126" s="130"/>
      <c r="G126" s="130"/>
      <c r="H126" s="131"/>
    </row>
    <row r="127" spans="1:8" ht="30">
      <c r="A127" s="82" t="s">
        <v>307</v>
      </c>
      <c r="B127" s="269" t="s">
        <v>449</v>
      </c>
      <c r="C127" s="130">
        <f>SUM(D127+E127+F127+G127+H127)</f>
        <v>20027</v>
      </c>
      <c r="D127" s="130"/>
      <c r="E127" s="130"/>
      <c r="F127" s="130"/>
      <c r="G127" s="130"/>
      <c r="H127" s="131">
        <v>20027</v>
      </c>
    </row>
    <row r="128" spans="1:8" ht="30">
      <c r="A128" s="82" t="s">
        <v>448</v>
      </c>
      <c r="B128" s="269" t="s">
        <v>450</v>
      </c>
      <c r="C128" s="127">
        <f>SUM(D128+E128+F128+G128+H128)</f>
        <v>38607</v>
      </c>
      <c r="D128" s="127">
        <v>38607</v>
      </c>
      <c r="E128" s="127"/>
      <c r="F128" s="127"/>
      <c r="G128" s="127"/>
      <c r="H128" s="128"/>
    </row>
    <row r="129" spans="1:8" s="85" customFormat="1" ht="15.75">
      <c r="A129" s="187" t="s">
        <v>39</v>
      </c>
      <c r="B129" s="188" t="s">
        <v>17</v>
      </c>
      <c r="C129" s="189">
        <f t="shared" si="4"/>
        <v>4641218</v>
      </c>
      <c r="D129" s="189">
        <f>SUM(D130+D135+D138+D144+D145+D146+D154)</f>
        <v>4352485</v>
      </c>
      <c r="E129" s="189">
        <f>SUM(E130+E135+E138+E144+E145+E146+E154)</f>
        <v>30097</v>
      </c>
      <c r="F129" s="189">
        <f>SUM(F130+F135+F138+F144+F145+F146+F154)</f>
        <v>220069</v>
      </c>
      <c r="G129" s="189">
        <f>SUM(G130+G135+G138+G144+G145+G146+G154)</f>
        <v>0</v>
      </c>
      <c r="H129" s="190">
        <f>SUM(H130+H135+H138+H144+H145+H146+H154)</f>
        <v>38567</v>
      </c>
    </row>
    <row r="130" spans="1:8" ht="15.75">
      <c r="A130" s="90" t="s">
        <v>97</v>
      </c>
      <c r="B130" s="88" t="s">
        <v>98</v>
      </c>
      <c r="C130" s="123">
        <f>SUM(D130+E130+F130+G130+H130)</f>
        <v>435414</v>
      </c>
      <c r="D130" s="123">
        <f>SUM(D131+D132+D133+D134)</f>
        <v>294964</v>
      </c>
      <c r="E130" s="123">
        <f>SUM(E131+E132+E133+E134)</f>
        <v>7115</v>
      </c>
      <c r="F130" s="123">
        <f>SUM(F131+F132+F133+F134)</f>
        <v>133032</v>
      </c>
      <c r="G130" s="123">
        <f>SUM(G131+G132+G133+G134)</f>
        <v>0</v>
      </c>
      <c r="H130" s="124">
        <f>SUM(H131+H132+H133+H134)</f>
        <v>303</v>
      </c>
    </row>
    <row r="131" spans="1:8" s="8" customFormat="1" ht="30">
      <c r="A131" s="81" t="s">
        <v>117</v>
      </c>
      <c r="B131" s="268" t="s">
        <v>121</v>
      </c>
      <c r="C131" s="127">
        <f t="shared" si="4"/>
        <v>198972</v>
      </c>
      <c r="D131" s="127">
        <v>97340</v>
      </c>
      <c r="E131" s="127"/>
      <c r="F131" s="127">
        <v>101585</v>
      </c>
      <c r="G131" s="127"/>
      <c r="H131" s="128">
        <v>47</v>
      </c>
    </row>
    <row r="132" spans="1:8" s="8" customFormat="1" ht="15.75">
      <c r="A132" s="81" t="s">
        <v>118</v>
      </c>
      <c r="B132" s="268" t="s">
        <v>122</v>
      </c>
      <c r="C132" s="127">
        <f t="shared" si="4"/>
        <v>70926</v>
      </c>
      <c r="D132" s="127">
        <v>69413</v>
      </c>
      <c r="E132" s="127">
        <v>1281</v>
      </c>
      <c r="F132" s="127"/>
      <c r="G132" s="127"/>
      <c r="H132" s="128">
        <v>232</v>
      </c>
    </row>
    <row r="133" spans="1:8" s="8" customFormat="1" ht="15.75">
      <c r="A133" s="81" t="s">
        <v>119</v>
      </c>
      <c r="B133" s="268" t="s">
        <v>123</v>
      </c>
      <c r="C133" s="127">
        <f t="shared" si="4"/>
        <v>66868</v>
      </c>
      <c r="D133" s="127">
        <v>65279</v>
      </c>
      <c r="E133" s="127">
        <v>1565</v>
      </c>
      <c r="F133" s="127"/>
      <c r="G133" s="127"/>
      <c r="H133" s="128">
        <v>24</v>
      </c>
    </row>
    <row r="134" spans="1:8" s="8" customFormat="1" ht="15.75">
      <c r="A134" s="81" t="s">
        <v>120</v>
      </c>
      <c r="B134" s="268" t="s">
        <v>124</v>
      </c>
      <c r="C134" s="127">
        <f t="shared" si="4"/>
        <v>98648</v>
      </c>
      <c r="D134" s="127">
        <f>67201-E134</f>
        <v>62932</v>
      </c>
      <c r="E134" s="127">
        <v>4269</v>
      </c>
      <c r="F134" s="127">
        <v>31447</v>
      </c>
      <c r="G134" s="127"/>
      <c r="H134" s="128"/>
    </row>
    <row r="135" spans="1:8" ht="15.75">
      <c r="A135" s="90" t="s">
        <v>125</v>
      </c>
      <c r="B135" s="88" t="s">
        <v>126</v>
      </c>
      <c r="C135" s="123">
        <f t="shared" si="4"/>
        <v>321796</v>
      </c>
      <c r="D135" s="123">
        <f>SUM(D136+D137)</f>
        <v>306924</v>
      </c>
      <c r="E135" s="123">
        <f>SUM(E136+E137)</f>
        <v>9249</v>
      </c>
      <c r="F135" s="123">
        <f>SUM(F136+F137)</f>
        <v>0</v>
      </c>
      <c r="G135" s="123">
        <f>SUM(G136+G137)</f>
        <v>0</v>
      </c>
      <c r="H135" s="124">
        <f>SUM(H136+H137)</f>
        <v>5623</v>
      </c>
    </row>
    <row r="136" spans="1:8" s="8" customFormat="1" ht="15.75">
      <c r="A136" s="81" t="s">
        <v>127</v>
      </c>
      <c r="B136" s="268" t="s">
        <v>129</v>
      </c>
      <c r="C136" s="127">
        <f t="shared" si="4"/>
        <v>205084</v>
      </c>
      <c r="D136" s="127">
        <f>195835-161</f>
        <v>195674</v>
      </c>
      <c r="E136" s="127">
        <v>9249</v>
      </c>
      <c r="F136" s="127"/>
      <c r="G136" s="127"/>
      <c r="H136" s="128">
        <v>161</v>
      </c>
    </row>
    <row r="137" spans="1:8" s="8" customFormat="1" ht="15.75">
      <c r="A137" s="81" t="s">
        <v>128</v>
      </c>
      <c r="B137" s="268" t="s">
        <v>331</v>
      </c>
      <c r="C137" s="127">
        <f t="shared" si="4"/>
        <v>116712</v>
      </c>
      <c r="D137" s="127">
        <v>111250</v>
      </c>
      <c r="E137" s="127"/>
      <c r="F137" s="127"/>
      <c r="G137" s="127"/>
      <c r="H137" s="128">
        <v>5462</v>
      </c>
    </row>
    <row r="138" spans="1:8" ht="15.75">
      <c r="A138" s="90" t="s">
        <v>99</v>
      </c>
      <c r="B138" s="88" t="s">
        <v>325</v>
      </c>
      <c r="C138" s="123">
        <f t="shared" si="4"/>
        <v>751790</v>
      </c>
      <c r="D138" s="123">
        <f>SUM(D139:D143)</f>
        <v>719581</v>
      </c>
      <c r="E138" s="123">
        <f>SUM(E139:E143)</f>
        <v>5720</v>
      </c>
      <c r="F138" s="123">
        <f>SUM(F139:F143)</f>
        <v>0</v>
      </c>
      <c r="G138" s="123">
        <f>SUM(G139:G143)</f>
        <v>0</v>
      </c>
      <c r="H138" s="124">
        <f>SUM(H139:H143)</f>
        <v>26489</v>
      </c>
    </row>
    <row r="139" spans="1:8" s="8" customFormat="1" ht="15.75" hidden="1">
      <c r="A139" s="81" t="s">
        <v>130</v>
      </c>
      <c r="B139" s="268" t="s">
        <v>167</v>
      </c>
      <c r="C139" s="127">
        <f t="shared" si="4"/>
        <v>0</v>
      </c>
      <c r="D139" s="127"/>
      <c r="E139" s="127"/>
      <c r="F139" s="127"/>
      <c r="G139" s="127"/>
      <c r="H139" s="128"/>
    </row>
    <row r="140" spans="1:8" s="8" customFormat="1" ht="30">
      <c r="A140" s="82" t="s">
        <v>175</v>
      </c>
      <c r="B140" s="269" t="s">
        <v>219</v>
      </c>
      <c r="C140" s="50">
        <f t="shared" si="4"/>
        <v>597686</v>
      </c>
      <c r="D140" s="130">
        <v>581955</v>
      </c>
      <c r="E140" s="130">
        <v>5720</v>
      </c>
      <c r="F140" s="130"/>
      <c r="G140" s="130"/>
      <c r="H140" s="131">
        <v>10011</v>
      </c>
    </row>
    <row r="141" spans="1:8" s="8" customFormat="1" ht="15.75">
      <c r="A141" s="81" t="s">
        <v>131</v>
      </c>
      <c r="B141" s="268" t="s">
        <v>451</v>
      </c>
      <c r="C141" s="127">
        <f t="shared" si="4"/>
        <v>137724</v>
      </c>
      <c r="D141" s="127">
        <v>137626</v>
      </c>
      <c r="E141" s="127"/>
      <c r="F141" s="127"/>
      <c r="G141" s="127"/>
      <c r="H141" s="128">
        <v>98</v>
      </c>
    </row>
    <row r="142" spans="1:8" s="8" customFormat="1" ht="52.5" customHeight="1">
      <c r="A142" s="81" t="s">
        <v>314</v>
      </c>
      <c r="B142" s="268" t="s">
        <v>315</v>
      </c>
      <c r="C142" s="127">
        <f t="shared" si="4"/>
        <v>5466</v>
      </c>
      <c r="D142" s="127"/>
      <c r="E142" s="127"/>
      <c r="F142" s="127"/>
      <c r="G142" s="127"/>
      <c r="H142" s="128">
        <v>5466</v>
      </c>
    </row>
    <row r="143" spans="1:8" s="8" customFormat="1" ht="51" customHeight="1">
      <c r="A143" s="81" t="s">
        <v>319</v>
      </c>
      <c r="B143" s="268" t="s">
        <v>330</v>
      </c>
      <c r="C143" s="127">
        <f t="shared" si="4"/>
        <v>10914</v>
      </c>
      <c r="D143" s="127"/>
      <c r="E143" s="127"/>
      <c r="F143" s="127"/>
      <c r="G143" s="127"/>
      <c r="H143" s="128">
        <v>10914</v>
      </c>
    </row>
    <row r="144" spans="1:8" s="8" customFormat="1" ht="15.75">
      <c r="A144" s="90" t="s">
        <v>303</v>
      </c>
      <c r="B144" s="275" t="s">
        <v>326</v>
      </c>
      <c r="C144" s="125">
        <f t="shared" si="4"/>
        <v>201240</v>
      </c>
      <c r="D144" s="125">
        <v>110717</v>
      </c>
      <c r="E144" s="125"/>
      <c r="F144" s="125">
        <v>87037</v>
      </c>
      <c r="G144" s="125"/>
      <c r="H144" s="132">
        <v>3486</v>
      </c>
    </row>
    <row r="145" spans="1:8" ht="30">
      <c r="A145" s="90" t="s">
        <v>100</v>
      </c>
      <c r="B145" s="88" t="s">
        <v>328</v>
      </c>
      <c r="C145" s="125">
        <f t="shared" si="4"/>
        <v>652488</v>
      </c>
      <c r="D145" s="125">
        <v>652488</v>
      </c>
      <c r="E145" s="125"/>
      <c r="F145" s="125"/>
      <c r="G145" s="125"/>
      <c r="H145" s="132"/>
    </row>
    <row r="146" spans="1:8" ht="28.5">
      <c r="A146" s="90" t="s">
        <v>101</v>
      </c>
      <c r="B146" s="88" t="s">
        <v>327</v>
      </c>
      <c r="C146" s="123">
        <f t="shared" si="4"/>
        <v>1145170</v>
      </c>
      <c r="D146" s="123">
        <f>SUM(D147:D153)</f>
        <v>1137047</v>
      </c>
      <c r="E146" s="123">
        <f>SUM(E147:E153)</f>
        <v>7159</v>
      </c>
      <c r="F146" s="123">
        <f>SUM(F147:F153)</f>
        <v>0</v>
      </c>
      <c r="G146" s="123">
        <f>SUM(G147:G153)</f>
        <v>0</v>
      </c>
      <c r="H146" s="124">
        <f>SUM(H147:H153)</f>
        <v>964</v>
      </c>
    </row>
    <row r="147" spans="1:8" s="8" customFormat="1" ht="15.75">
      <c r="A147" s="81" t="s">
        <v>132</v>
      </c>
      <c r="B147" s="268" t="s">
        <v>137</v>
      </c>
      <c r="C147" s="127">
        <f t="shared" si="4"/>
        <v>11924</v>
      </c>
      <c r="D147" s="127">
        <v>11924</v>
      </c>
      <c r="E147" s="127"/>
      <c r="F147" s="127"/>
      <c r="G147" s="127"/>
      <c r="H147" s="128"/>
    </row>
    <row r="148" spans="1:8" s="8" customFormat="1" ht="15.75" hidden="1">
      <c r="A148" s="81" t="s">
        <v>133</v>
      </c>
      <c r="B148" s="268" t="s">
        <v>138</v>
      </c>
      <c r="C148" s="127">
        <f t="shared" si="4"/>
        <v>0</v>
      </c>
      <c r="D148" s="127"/>
      <c r="E148" s="127"/>
      <c r="F148" s="127"/>
      <c r="G148" s="127"/>
      <c r="H148" s="128"/>
    </row>
    <row r="149" spans="1:8" s="8" customFormat="1" ht="30">
      <c r="A149" s="81" t="s">
        <v>134</v>
      </c>
      <c r="B149" s="268" t="s">
        <v>140</v>
      </c>
      <c r="C149" s="127">
        <f t="shared" si="4"/>
        <v>260172</v>
      </c>
      <c r="D149" s="127">
        <v>260172</v>
      </c>
      <c r="E149" s="127"/>
      <c r="F149" s="127"/>
      <c r="G149" s="127"/>
      <c r="H149" s="128"/>
    </row>
    <row r="150" spans="1:8" s="8" customFormat="1" ht="15.75">
      <c r="A150" s="81" t="s">
        <v>456</v>
      </c>
      <c r="B150" s="269" t="s">
        <v>452</v>
      </c>
      <c r="C150" s="127">
        <f t="shared" si="4"/>
        <v>77824</v>
      </c>
      <c r="D150" s="127">
        <v>75169</v>
      </c>
      <c r="E150" s="127">
        <v>2134</v>
      </c>
      <c r="F150" s="127"/>
      <c r="G150" s="127"/>
      <c r="H150" s="128">
        <v>521</v>
      </c>
    </row>
    <row r="151" spans="1:8" s="8" customFormat="1" ht="30">
      <c r="A151" s="82" t="s">
        <v>135</v>
      </c>
      <c r="B151" s="269" t="s">
        <v>453</v>
      </c>
      <c r="C151" s="130">
        <f t="shared" si="4"/>
        <v>695306</v>
      </c>
      <c r="D151" s="130">
        <v>692595</v>
      </c>
      <c r="E151" s="130">
        <v>2464</v>
      </c>
      <c r="F151" s="130"/>
      <c r="G151" s="130"/>
      <c r="H151" s="131">
        <v>247</v>
      </c>
    </row>
    <row r="152" spans="1:8" s="8" customFormat="1" ht="15.75">
      <c r="A152" s="81" t="s">
        <v>136</v>
      </c>
      <c r="B152" s="268" t="s">
        <v>139</v>
      </c>
      <c r="C152" s="127">
        <f t="shared" si="4"/>
        <v>16114</v>
      </c>
      <c r="D152" s="127">
        <v>13695</v>
      </c>
      <c r="E152" s="127">
        <v>2419</v>
      </c>
      <c r="F152" s="127"/>
      <c r="G152" s="127"/>
      <c r="H152" s="128"/>
    </row>
    <row r="153" spans="1:8" s="8" customFormat="1" ht="30">
      <c r="A153" s="81" t="s">
        <v>339</v>
      </c>
      <c r="B153" s="268" t="s">
        <v>378</v>
      </c>
      <c r="C153" s="127">
        <f t="shared" si="4"/>
        <v>83830</v>
      </c>
      <c r="D153" s="127">
        <v>83492</v>
      </c>
      <c r="E153" s="127">
        <v>142</v>
      </c>
      <c r="F153" s="127"/>
      <c r="G153" s="127"/>
      <c r="H153" s="128">
        <v>196</v>
      </c>
    </row>
    <row r="154" spans="1:8" ht="15.75">
      <c r="A154" s="90" t="s">
        <v>379</v>
      </c>
      <c r="B154" s="88" t="s">
        <v>380</v>
      </c>
      <c r="C154" s="125">
        <f>D154+E154+F154+G154+H154</f>
        <v>1133320</v>
      </c>
      <c r="D154" s="125">
        <f>SUM(D155:D157)</f>
        <v>1130764</v>
      </c>
      <c r="E154" s="125">
        <f>SUM(E155:E157)</f>
        <v>854</v>
      </c>
      <c r="F154" s="125">
        <f>SUM(F155:F157)</f>
        <v>0</v>
      </c>
      <c r="G154" s="125">
        <f>SUM(G155:G157)</f>
        <v>0</v>
      </c>
      <c r="H154" s="132">
        <f>SUM(H155:H157)</f>
        <v>1702</v>
      </c>
    </row>
    <row r="155" spans="1:8" ht="30">
      <c r="A155" s="81" t="s">
        <v>102</v>
      </c>
      <c r="B155" s="268" t="s">
        <v>454</v>
      </c>
      <c r="C155" s="127">
        <f t="shared" si="4"/>
        <v>898559</v>
      </c>
      <c r="D155" s="127">
        <f>897705-1702</f>
        <v>896003</v>
      </c>
      <c r="E155" s="127">
        <v>854</v>
      </c>
      <c r="F155" s="127"/>
      <c r="G155" s="127"/>
      <c r="H155" s="128">
        <v>1702</v>
      </c>
    </row>
    <row r="156" spans="1:8" ht="30">
      <c r="A156" s="81" t="s">
        <v>382</v>
      </c>
      <c r="B156" s="268" t="s">
        <v>381</v>
      </c>
      <c r="C156" s="127">
        <f t="shared" si="4"/>
        <v>14229</v>
      </c>
      <c r="D156" s="127">
        <v>14229</v>
      </c>
      <c r="E156" s="127"/>
      <c r="F156" s="127"/>
      <c r="G156" s="127"/>
      <c r="H156" s="128"/>
    </row>
    <row r="157" spans="1:8" ht="30.75" thickBot="1">
      <c r="A157" s="204" t="s">
        <v>341</v>
      </c>
      <c r="B157" s="276" t="s">
        <v>383</v>
      </c>
      <c r="C157" s="138">
        <f t="shared" si="4"/>
        <v>220532</v>
      </c>
      <c r="D157" s="138">
        <f>220538-6</f>
        <v>220532</v>
      </c>
      <c r="E157" s="138"/>
      <c r="F157" s="138"/>
      <c r="G157" s="138"/>
      <c r="H157" s="203"/>
    </row>
    <row r="158" spans="1:11" s="85" customFormat="1" ht="16.5" thickBot="1">
      <c r="A158" s="191"/>
      <c r="B158" s="195" t="s">
        <v>56</v>
      </c>
      <c r="C158" s="192">
        <f t="shared" si="4"/>
        <v>3153174</v>
      </c>
      <c r="D158" s="192">
        <f>SUM(D159+D160)</f>
        <v>541490</v>
      </c>
      <c r="E158" s="192">
        <f>SUM(E159+E160)</f>
        <v>0</v>
      </c>
      <c r="F158" s="192">
        <f>SUM(F159+F160)</f>
        <v>0</v>
      </c>
      <c r="G158" s="192">
        <f>SUM(G159+G160)</f>
        <v>0</v>
      </c>
      <c r="H158" s="193">
        <f>SUM(H159+H160)</f>
        <v>2611684</v>
      </c>
      <c r="J158" s="201"/>
      <c r="K158" s="201"/>
    </row>
    <row r="159" spans="1:11" ht="15.75">
      <c r="A159" s="100" t="s">
        <v>198</v>
      </c>
      <c r="B159" s="215" t="s">
        <v>199</v>
      </c>
      <c r="C159" s="145">
        <f t="shared" si="4"/>
        <v>2757224</v>
      </c>
      <c r="D159" s="145">
        <f>143959+1581</f>
        <v>145540</v>
      </c>
      <c r="E159" s="146"/>
      <c r="F159" s="146"/>
      <c r="G159" s="146"/>
      <c r="H159" s="220">
        <v>2611684</v>
      </c>
      <c r="J159" s="202"/>
      <c r="K159" s="64"/>
    </row>
    <row r="160" spans="1:11" s="85" customFormat="1" ht="28.5">
      <c r="A160" s="101" t="s">
        <v>105</v>
      </c>
      <c r="B160" s="88" t="s">
        <v>200</v>
      </c>
      <c r="C160" s="123">
        <f t="shared" si="4"/>
        <v>395950</v>
      </c>
      <c r="D160" s="123">
        <f>D163+D161+D162</f>
        <v>395950</v>
      </c>
      <c r="E160" s="123">
        <f>E163+E161+E162</f>
        <v>0</v>
      </c>
      <c r="F160" s="123">
        <f>F163+F161+F162</f>
        <v>0</v>
      </c>
      <c r="G160" s="123">
        <f>G163+G161+G162</f>
        <v>0</v>
      </c>
      <c r="H160" s="124">
        <f>H163+H161+H162</f>
        <v>0</v>
      </c>
      <c r="J160" s="201"/>
      <c r="K160" s="201"/>
    </row>
    <row r="161" spans="1:11" s="85" customFormat="1" ht="30">
      <c r="A161" s="101"/>
      <c r="B161" s="268" t="s">
        <v>389</v>
      </c>
      <c r="C161" s="44">
        <f t="shared" si="4"/>
        <v>42686</v>
      </c>
      <c r="D161" s="127">
        <v>42686</v>
      </c>
      <c r="E161" s="123"/>
      <c r="F161" s="123"/>
      <c r="G161" s="123"/>
      <c r="H161" s="134"/>
      <c r="J161" s="201"/>
      <c r="K161" s="201"/>
    </row>
    <row r="162" spans="1:8" s="85" customFormat="1" ht="30">
      <c r="A162" s="101"/>
      <c r="B162" s="268" t="s">
        <v>394</v>
      </c>
      <c r="C162" s="44">
        <f t="shared" si="4"/>
        <v>71144</v>
      </c>
      <c r="D162" s="127">
        <v>71144</v>
      </c>
      <c r="E162" s="123"/>
      <c r="F162" s="123"/>
      <c r="G162" s="123"/>
      <c r="H162" s="124"/>
    </row>
    <row r="163" spans="1:8" ht="30.75" thickBot="1">
      <c r="A163" s="144"/>
      <c r="B163" s="276" t="s">
        <v>165</v>
      </c>
      <c r="C163" s="136">
        <f t="shared" si="4"/>
        <v>282120</v>
      </c>
      <c r="D163" s="138">
        <v>282120</v>
      </c>
      <c r="E163" s="136"/>
      <c r="F163" s="136"/>
      <c r="G163" s="136"/>
      <c r="H163" s="137"/>
    </row>
    <row r="164" spans="1:10" ht="16.5" thickBot="1">
      <c r="A164" s="194"/>
      <c r="B164" s="195" t="s">
        <v>79</v>
      </c>
      <c r="C164" s="192">
        <f aca="true" t="shared" si="6" ref="C164:H164">SUM(C158+C9)</f>
        <v>59801730</v>
      </c>
      <c r="D164" s="192">
        <f t="shared" si="6"/>
        <v>45001947</v>
      </c>
      <c r="E164" s="192">
        <f t="shared" si="6"/>
        <v>1342330</v>
      </c>
      <c r="F164" s="192">
        <f t="shared" si="6"/>
        <v>6815699</v>
      </c>
      <c r="G164" s="192">
        <f t="shared" si="6"/>
        <v>819878</v>
      </c>
      <c r="H164" s="193">
        <f t="shared" si="6"/>
        <v>5821876</v>
      </c>
      <c r="I164" s="109"/>
      <c r="J164" s="93"/>
    </row>
    <row r="165" spans="1:9" s="105" customFormat="1" ht="15.75">
      <c r="A165" s="102"/>
      <c r="B165" s="103"/>
      <c r="C165" s="139"/>
      <c r="D165" s="140"/>
      <c r="E165" s="140"/>
      <c r="F165" s="102"/>
      <c r="G165" s="102"/>
      <c r="H165" s="139"/>
      <c r="I165" s="104"/>
    </row>
    <row r="166" spans="3:8" ht="15.75">
      <c r="C166" s="141"/>
      <c r="D166" s="142"/>
      <c r="E166" s="67"/>
      <c r="F166" s="67"/>
      <c r="G166" s="67"/>
      <c r="H166" s="67"/>
    </row>
    <row r="167" spans="1:8" s="105" customFormat="1" ht="18.75">
      <c r="A167" s="7" t="s">
        <v>28</v>
      </c>
      <c r="B167" s="226"/>
      <c r="C167" s="227"/>
      <c r="D167" s="223"/>
      <c r="E167" s="7"/>
      <c r="F167" s="7"/>
      <c r="G167" s="7"/>
      <c r="H167" s="225" t="s">
        <v>86</v>
      </c>
    </row>
    <row r="168" spans="3:8" ht="15.75">
      <c r="C168" s="141"/>
      <c r="D168" s="143"/>
      <c r="E168" s="67"/>
      <c r="F168" s="67"/>
      <c r="G168" s="67"/>
      <c r="H168" s="67"/>
    </row>
    <row r="169" spans="3:8" ht="15.75">
      <c r="C169" s="67"/>
      <c r="D169" s="143"/>
      <c r="E169" s="67"/>
      <c r="F169" s="67"/>
      <c r="G169" s="67"/>
      <c r="H169" s="67"/>
    </row>
    <row r="170" spans="3:8" ht="15.75">
      <c r="C170" s="67"/>
      <c r="D170" s="143"/>
      <c r="E170" s="141"/>
      <c r="F170" s="67"/>
      <c r="G170" s="67"/>
      <c r="H170" s="67"/>
    </row>
    <row r="171" ht="15.75">
      <c r="C171" s="93"/>
    </row>
  </sheetData>
  <sheetProtection/>
  <mergeCells count="6">
    <mergeCell ref="A4:H4"/>
    <mergeCell ref="A5:H5"/>
    <mergeCell ref="A7:A8"/>
    <mergeCell ref="B7:B8"/>
    <mergeCell ref="C7:C8"/>
    <mergeCell ref="D7:H7"/>
  </mergeCells>
  <printOptions/>
  <pageMargins left="0.7480314960629921" right="0.7480314960629921" top="1.1811023622047245" bottom="0.3937007874015748" header="0.7086614173228347" footer="0.1968503937007874"/>
  <pageSetup horizontalDpi="300" verticalDpi="300" orientation="landscape" paperSize="9" scale="95" r:id="rId1"/>
  <headerFooter alignWithMargins="0">
    <oddFooter>&amp;R&amp;P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3.28125" style="2" customWidth="1"/>
    <col min="2" max="2" width="48.00390625" style="2" customWidth="1"/>
    <col min="3" max="3" width="17.140625" style="2" customWidth="1"/>
    <col min="4" max="4" width="17.421875" style="2" customWidth="1"/>
    <col min="5" max="5" width="17.28125" style="2" customWidth="1"/>
    <col min="6" max="6" width="18.8515625" style="2" customWidth="1"/>
    <col min="7" max="7" width="12.00390625" style="2" customWidth="1"/>
    <col min="8" max="8" width="10.57421875" style="2" bestFit="1" customWidth="1"/>
    <col min="9" max="16384" width="9.140625" style="2" customWidth="1"/>
  </cols>
  <sheetData>
    <row r="1" spans="1:6" ht="15.75">
      <c r="A1" s="1"/>
      <c r="E1" s="229"/>
      <c r="F1" s="13" t="s">
        <v>401</v>
      </c>
    </row>
    <row r="2" spans="4:6" ht="15">
      <c r="D2" s="229"/>
      <c r="E2" s="229"/>
      <c r="F2" s="13" t="s">
        <v>689</v>
      </c>
    </row>
    <row r="3" spans="5:6" ht="15">
      <c r="E3" s="229"/>
      <c r="F3" s="230" t="s">
        <v>690</v>
      </c>
    </row>
    <row r="4" ht="45" customHeight="1"/>
    <row r="5" spans="1:6" ht="20.25">
      <c r="A5" s="372" t="s">
        <v>402</v>
      </c>
      <c r="B5" s="372"/>
      <c r="C5" s="372"/>
      <c r="D5" s="372"/>
      <c r="E5" s="372"/>
      <c r="F5" s="372"/>
    </row>
    <row r="6" spans="1:6" ht="12.75">
      <c r="A6" s="231"/>
      <c r="B6" s="231"/>
      <c r="C6" s="231"/>
      <c r="D6" s="231"/>
      <c r="E6" s="231"/>
      <c r="F6" s="231"/>
    </row>
    <row r="7" spans="1:6" ht="13.5" thickBot="1">
      <c r="A7" s="231"/>
      <c r="B7" s="232"/>
      <c r="C7" s="233"/>
      <c r="D7" s="233"/>
      <c r="E7" s="233"/>
      <c r="F7" s="234" t="s">
        <v>455</v>
      </c>
    </row>
    <row r="8" spans="1:6" ht="48.75" thickBot="1">
      <c r="A8" s="235" t="s">
        <v>403</v>
      </c>
      <c r="B8" s="161" t="s">
        <v>404</v>
      </c>
      <c r="C8" s="236" t="s">
        <v>405</v>
      </c>
      <c r="D8" s="236" t="s">
        <v>406</v>
      </c>
      <c r="E8" s="236" t="s">
        <v>407</v>
      </c>
      <c r="F8" s="237" t="s">
        <v>408</v>
      </c>
    </row>
    <row r="9" spans="1:8" s="7" customFormat="1" ht="19.5" thickBot="1">
      <c r="A9" s="238" t="s">
        <v>409</v>
      </c>
      <c r="B9" s="239" t="s">
        <v>410</v>
      </c>
      <c r="C9" s="240">
        <f>SUM(C10)</f>
        <v>92487</v>
      </c>
      <c r="D9" s="240">
        <f>SUM(D10)</f>
        <v>43386</v>
      </c>
      <c r="E9" s="240">
        <f>SUM(E10)</f>
        <v>135873</v>
      </c>
      <c r="F9" s="241">
        <f>SUM(F10)</f>
        <v>135873</v>
      </c>
      <c r="H9" s="242"/>
    </row>
    <row r="10" spans="1:8" ht="33.75" thickBot="1" thickTop="1">
      <c r="A10" s="243" t="s">
        <v>411</v>
      </c>
      <c r="B10" s="244" t="s">
        <v>412</v>
      </c>
      <c r="C10" s="245">
        <v>92487</v>
      </c>
      <c r="D10" s="245">
        <v>43386</v>
      </c>
      <c r="E10" s="245">
        <f>SUM(C10:D10)</f>
        <v>135873</v>
      </c>
      <c r="F10" s="246">
        <f>SUM(E10)</f>
        <v>135873</v>
      </c>
      <c r="H10" s="242"/>
    </row>
    <row r="11" spans="1:8" s="7" customFormat="1" ht="19.5" thickBot="1">
      <c r="A11" s="238" t="s">
        <v>413</v>
      </c>
      <c r="B11" s="247" t="s">
        <v>414</v>
      </c>
      <c r="C11" s="240">
        <f>C13+C14</f>
        <v>1522743</v>
      </c>
      <c r="D11" s="240">
        <f>D13+D14</f>
        <v>75</v>
      </c>
      <c r="E11" s="240">
        <f>E13+E14</f>
        <v>1522818</v>
      </c>
      <c r="F11" s="241">
        <f>F13+F14</f>
        <v>1522818</v>
      </c>
      <c r="H11" s="242"/>
    </row>
    <row r="12" spans="1:8" ht="33" thickTop="1">
      <c r="A12" s="248" t="s">
        <v>277</v>
      </c>
      <c r="B12" s="249" t="s">
        <v>415</v>
      </c>
      <c r="C12" s="250">
        <f>SUM(C13+C14)</f>
        <v>1522743</v>
      </c>
      <c r="D12" s="250">
        <f>SUM(D13+D14)</f>
        <v>75</v>
      </c>
      <c r="E12" s="250">
        <f>SUM(E13+E14)</f>
        <v>1522818</v>
      </c>
      <c r="F12" s="251">
        <f>SUM(F13+F14)</f>
        <v>1522818</v>
      </c>
      <c r="H12" s="242"/>
    </row>
    <row r="13" spans="1:8" ht="18.75">
      <c r="A13" s="252"/>
      <c r="B13" s="253" t="s">
        <v>416</v>
      </c>
      <c r="C13" s="254">
        <v>1094299</v>
      </c>
      <c r="D13" s="255">
        <v>75</v>
      </c>
      <c r="E13" s="255">
        <f>C13+D13</f>
        <v>1094374</v>
      </c>
      <c r="F13" s="256">
        <f>E13</f>
        <v>1094374</v>
      </c>
      <c r="H13" s="242"/>
    </row>
    <row r="14" spans="1:8" ht="32.25">
      <c r="A14" s="257"/>
      <c r="B14" s="258" t="s">
        <v>417</v>
      </c>
      <c r="C14" s="357">
        <v>428444</v>
      </c>
      <c r="D14" s="357">
        <v>0</v>
      </c>
      <c r="E14" s="358">
        <f>C14+D14</f>
        <v>428444</v>
      </c>
      <c r="F14" s="359">
        <f>E14</f>
        <v>428444</v>
      </c>
      <c r="H14" s="242"/>
    </row>
    <row r="15" spans="1:8" s="262" customFormat="1" ht="41.25" thickBot="1">
      <c r="A15" s="259"/>
      <c r="B15" s="260" t="s">
        <v>418</v>
      </c>
      <c r="C15" s="261">
        <f>C9+C11</f>
        <v>1615230</v>
      </c>
      <c r="D15" s="261">
        <f>D9+D11</f>
        <v>43461</v>
      </c>
      <c r="E15" s="261">
        <f>E9+E11</f>
        <v>1658691</v>
      </c>
      <c r="F15" s="370">
        <f>F9+F11</f>
        <v>1658691</v>
      </c>
      <c r="H15" s="242"/>
    </row>
    <row r="16" spans="1:6" ht="15.75">
      <c r="A16" s="1"/>
      <c r="B16" s="1"/>
      <c r="C16" s="1"/>
      <c r="D16" s="1"/>
      <c r="E16" s="1"/>
      <c r="F16" s="1"/>
    </row>
    <row r="17" spans="1:6" s="262" customFormat="1" ht="20.25">
      <c r="A17" s="7" t="s">
        <v>28</v>
      </c>
      <c r="B17" s="7"/>
      <c r="C17" s="7"/>
      <c r="D17" s="7"/>
      <c r="E17" s="7"/>
      <c r="F17" s="225" t="s">
        <v>29</v>
      </c>
    </row>
  </sheetData>
  <sheetProtection/>
  <mergeCells count="1">
    <mergeCell ref="A5:F5"/>
  </mergeCells>
  <printOptions/>
  <pageMargins left="0.75" right="0.75" top="0.51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1"/>
  <sheetViews>
    <sheetView zoomScale="90" zoomScaleNormal="90" zoomScalePageLayoutView="0" workbookViewId="0" topLeftCell="A1">
      <pane xSplit="1" ySplit="6" topLeftCell="D1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75" sqref="L175"/>
    </sheetView>
  </sheetViews>
  <sheetFormatPr defaultColWidth="9.140625" defaultRowHeight="12.75"/>
  <cols>
    <col min="1" max="1" width="3.28125" style="283" customWidth="1"/>
    <col min="2" max="2" width="10.7109375" style="288" customWidth="1"/>
    <col min="3" max="3" width="24.00390625" style="285" customWidth="1"/>
    <col min="4" max="4" width="13.421875" style="286" customWidth="1"/>
    <col min="5" max="5" width="10.8515625" style="283" customWidth="1"/>
    <col min="6" max="6" width="10.28125" style="283" customWidth="1"/>
    <col min="7" max="7" width="11.421875" style="283" customWidth="1"/>
    <col min="8" max="8" width="12.7109375" style="283" customWidth="1"/>
    <col min="9" max="9" width="12.421875" style="283" customWidth="1"/>
    <col min="10" max="10" width="11.57421875" style="283" customWidth="1"/>
    <col min="11" max="14" width="11.140625" style="283" customWidth="1"/>
    <col min="15" max="15" width="11.140625" style="283" bestFit="1" customWidth="1"/>
    <col min="16" max="17" width="10.8515625" style="283" customWidth="1"/>
    <col min="18" max="18" width="11.00390625" style="283" customWidth="1"/>
    <col min="19" max="20" width="12.28125" style="283" customWidth="1"/>
    <col min="21" max="21" width="11.140625" style="283" customWidth="1"/>
    <col min="22" max="22" width="10.8515625" style="283" customWidth="1"/>
    <col min="23" max="23" width="13.57421875" style="283" bestFit="1" customWidth="1"/>
    <col min="24" max="24" width="9.140625" style="287" customWidth="1"/>
    <col min="25" max="16384" width="9.140625" style="283" customWidth="1"/>
  </cols>
  <sheetData>
    <row r="1" spans="2:11" ht="15">
      <c r="B1" s="284"/>
      <c r="K1" s="13" t="s">
        <v>458</v>
      </c>
    </row>
    <row r="2" ht="15">
      <c r="K2" s="13" t="s">
        <v>689</v>
      </c>
    </row>
    <row r="3" ht="15">
      <c r="K3" s="230" t="s">
        <v>690</v>
      </c>
    </row>
    <row r="4" spans="1:22" ht="18" customHeight="1">
      <c r="A4" s="392" t="s">
        <v>659</v>
      </c>
      <c r="B4" s="392"/>
      <c r="C4" s="392"/>
      <c r="D4" s="392"/>
      <c r="E4" s="392"/>
      <c r="F4" s="392"/>
      <c r="G4" s="392"/>
      <c r="H4" s="392"/>
      <c r="I4" s="392"/>
      <c r="J4" s="392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24" s="285" customFormat="1" ht="12.75" customHeight="1">
      <c r="A5" s="393" t="s">
        <v>459</v>
      </c>
      <c r="B5" s="395" t="s">
        <v>460</v>
      </c>
      <c r="C5" s="397" t="s">
        <v>461</v>
      </c>
      <c r="D5" s="291" t="s">
        <v>462</v>
      </c>
      <c r="E5" s="290" t="s">
        <v>463</v>
      </c>
      <c r="F5" s="290" t="s">
        <v>464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3" t="s">
        <v>465</v>
      </c>
      <c r="X5" s="294"/>
    </row>
    <row r="6" spans="1:24" s="285" customFormat="1" ht="12.75">
      <c r="A6" s="394"/>
      <c r="B6" s="396"/>
      <c r="C6" s="398"/>
      <c r="D6" s="296" t="s">
        <v>466</v>
      </c>
      <c r="E6" s="295" t="s">
        <v>467</v>
      </c>
      <c r="F6" s="295" t="s">
        <v>468</v>
      </c>
      <c r="G6" s="295">
        <v>2014</v>
      </c>
      <c r="H6" s="295">
        <f>SUM(G6+1)</f>
        <v>2015</v>
      </c>
      <c r="I6" s="295">
        <f aca="true" t="shared" si="0" ref="I6:T6">SUM(H6+1)</f>
        <v>2016</v>
      </c>
      <c r="J6" s="295">
        <f t="shared" si="0"/>
        <v>2017</v>
      </c>
      <c r="K6" s="295">
        <f t="shared" si="0"/>
        <v>2018</v>
      </c>
      <c r="L6" s="295">
        <f t="shared" si="0"/>
        <v>2019</v>
      </c>
      <c r="M6" s="295">
        <f t="shared" si="0"/>
        <v>2020</v>
      </c>
      <c r="N6" s="295">
        <f t="shared" si="0"/>
        <v>2021</v>
      </c>
      <c r="O6" s="295">
        <f t="shared" si="0"/>
        <v>2022</v>
      </c>
      <c r="P6" s="295">
        <f t="shared" si="0"/>
        <v>2023</v>
      </c>
      <c r="Q6" s="295">
        <f t="shared" si="0"/>
        <v>2024</v>
      </c>
      <c r="R6" s="295">
        <f t="shared" si="0"/>
        <v>2025</v>
      </c>
      <c r="S6" s="295">
        <f t="shared" si="0"/>
        <v>2026</v>
      </c>
      <c r="T6" s="295">
        <f t="shared" si="0"/>
        <v>2027</v>
      </c>
      <c r="U6" s="295" t="s">
        <v>469</v>
      </c>
      <c r="V6" s="297" t="s">
        <v>470</v>
      </c>
      <c r="X6" s="294"/>
    </row>
    <row r="7" spans="1:24" s="288" customFormat="1" ht="12.75">
      <c r="A7" s="399">
        <v>1</v>
      </c>
      <c r="B7" s="299" t="s">
        <v>471</v>
      </c>
      <c r="C7" s="401" t="s">
        <v>472</v>
      </c>
      <c r="D7" s="403">
        <v>5443737.54</v>
      </c>
      <c r="E7" s="300" t="s">
        <v>473</v>
      </c>
      <c r="F7" s="299" t="s">
        <v>474</v>
      </c>
      <c r="G7" s="301">
        <v>403133.74</v>
      </c>
      <c r="H7" s="301">
        <v>403133.74</v>
      </c>
      <c r="I7" s="301">
        <v>403133.74</v>
      </c>
      <c r="J7" s="301">
        <v>403133.74</v>
      </c>
      <c r="K7" s="301">
        <v>403133.74</v>
      </c>
      <c r="L7" s="301">
        <v>403133.74</v>
      </c>
      <c r="M7" s="301">
        <v>403133.74</v>
      </c>
      <c r="N7" s="301">
        <v>403133.74</v>
      </c>
      <c r="O7" s="301">
        <v>403133.74</v>
      </c>
      <c r="P7" s="301">
        <v>403133.74</v>
      </c>
      <c r="Q7" s="301">
        <v>403133.74</v>
      </c>
      <c r="R7" s="301">
        <v>403133.74</v>
      </c>
      <c r="S7" s="301">
        <v>403133.74</v>
      </c>
      <c r="T7" s="301">
        <v>201576.14</v>
      </c>
      <c r="U7" s="319"/>
      <c r="V7" s="304">
        <f aca="true" t="shared" si="1" ref="V7:V70">SUM(G7:U7)</f>
        <v>5442314.760000001</v>
      </c>
      <c r="X7" s="298"/>
    </row>
    <row r="8" spans="1:24" s="288" customFormat="1" ht="12.75">
      <c r="A8" s="400"/>
      <c r="B8" s="305" t="s">
        <v>475</v>
      </c>
      <c r="C8" s="402"/>
      <c r="D8" s="404"/>
      <c r="E8" s="306" t="s">
        <v>476</v>
      </c>
      <c r="F8" s="307">
        <v>0.0077</v>
      </c>
      <c r="G8" s="308">
        <v>51560</v>
      </c>
      <c r="H8" s="308">
        <v>50974</v>
      </c>
      <c r="I8" s="308">
        <v>47015</v>
      </c>
      <c r="J8" s="308">
        <v>42799</v>
      </c>
      <c r="K8" s="308">
        <v>38712</v>
      </c>
      <c r="L8" s="308">
        <v>34625</v>
      </c>
      <c r="M8" s="308">
        <v>30621</v>
      </c>
      <c r="N8" s="308">
        <v>26450</v>
      </c>
      <c r="O8" s="308">
        <v>22362</v>
      </c>
      <c r="P8" s="308">
        <v>18275</v>
      </c>
      <c r="Q8" s="308">
        <v>14227</v>
      </c>
      <c r="R8" s="308">
        <v>10100</v>
      </c>
      <c r="S8" s="308">
        <v>6013</v>
      </c>
      <c r="T8" s="323">
        <v>1926</v>
      </c>
      <c r="U8" s="323"/>
      <c r="V8" s="311">
        <f t="shared" si="1"/>
        <v>395659</v>
      </c>
      <c r="X8" s="298"/>
    </row>
    <row r="9" spans="1:24" ht="12.75">
      <c r="A9" s="399">
        <v>2</v>
      </c>
      <c r="B9" s="299" t="s">
        <v>477</v>
      </c>
      <c r="C9" s="405" t="s">
        <v>660</v>
      </c>
      <c r="D9" s="407">
        <v>836463.65</v>
      </c>
      <c r="E9" s="300" t="s">
        <v>478</v>
      </c>
      <c r="F9" s="299" t="s">
        <v>474</v>
      </c>
      <c r="G9" s="301">
        <v>119492.76</v>
      </c>
      <c r="H9" s="301">
        <v>119506.99</v>
      </c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3"/>
      <c r="U9" s="303"/>
      <c r="V9" s="304">
        <f t="shared" si="1"/>
        <v>238999.75</v>
      </c>
      <c r="X9" s="298"/>
    </row>
    <row r="10" spans="1:24" ht="12.75">
      <c r="A10" s="400"/>
      <c r="B10" s="305" t="s">
        <v>479</v>
      </c>
      <c r="C10" s="406"/>
      <c r="D10" s="408"/>
      <c r="E10" s="306" t="s">
        <v>480</v>
      </c>
      <c r="F10" s="307">
        <v>0.0077</v>
      </c>
      <c r="G10" s="308">
        <v>2077</v>
      </c>
      <c r="H10" s="308">
        <v>1025</v>
      </c>
      <c r="I10" s="308">
        <v>67</v>
      </c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10"/>
      <c r="U10" s="310"/>
      <c r="V10" s="311">
        <f t="shared" si="1"/>
        <v>3169</v>
      </c>
      <c r="X10" s="298"/>
    </row>
    <row r="11" spans="1:24" ht="12.75">
      <c r="A11" s="399">
        <v>3</v>
      </c>
      <c r="B11" s="299" t="s">
        <v>477</v>
      </c>
      <c r="C11" s="401" t="s">
        <v>661</v>
      </c>
      <c r="D11" s="409">
        <v>392584.56</v>
      </c>
      <c r="E11" s="300" t="s">
        <v>478</v>
      </c>
      <c r="F11" s="299" t="s">
        <v>474</v>
      </c>
      <c r="G11" s="301">
        <v>54369.36</v>
      </c>
      <c r="H11" s="301">
        <v>56081.07</v>
      </c>
      <c r="I11" s="313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3"/>
      <c r="U11" s="303"/>
      <c r="V11" s="304">
        <f t="shared" si="1"/>
        <v>110450.43</v>
      </c>
      <c r="X11" s="298"/>
    </row>
    <row r="12" spans="1:24" ht="12.75">
      <c r="A12" s="400"/>
      <c r="B12" s="305" t="s">
        <v>481</v>
      </c>
      <c r="C12" s="402"/>
      <c r="D12" s="410"/>
      <c r="E12" s="306" t="s">
        <v>480</v>
      </c>
      <c r="F12" s="307">
        <v>0.0077</v>
      </c>
      <c r="G12" s="315">
        <v>964</v>
      </c>
      <c r="H12" s="315">
        <v>498</v>
      </c>
      <c r="I12" s="315">
        <v>40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310"/>
      <c r="V12" s="311">
        <f t="shared" si="1"/>
        <v>1502</v>
      </c>
      <c r="X12" s="298"/>
    </row>
    <row r="13" spans="1:24" ht="12.75">
      <c r="A13" s="399">
        <v>4</v>
      </c>
      <c r="B13" s="299" t="s">
        <v>477</v>
      </c>
      <c r="C13" s="401" t="s">
        <v>662</v>
      </c>
      <c r="D13" s="411">
        <v>177147.54</v>
      </c>
      <c r="E13" s="300" t="s">
        <v>478</v>
      </c>
      <c r="F13" s="299" t="s">
        <v>474</v>
      </c>
      <c r="G13" s="301">
        <v>25304.36</v>
      </c>
      <c r="H13" s="301">
        <v>25321.43</v>
      </c>
      <c r="I13" s="313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303"/>
      <c r="V13" s="304">
        <f t="shared" si="1"/>
        <v>50625.79</v>
      </c>
      <c r="X13" s="298"/>
    </row>
    <row r="14" spans="1:24" ht="12.75">
      <c r="A14" s="400"/>
      <c r="B14" s="305" t="s">
        <v>482</v>
      </c>
      <c r="C14" s="402"/>
      <c r="D14" s="412"/>
      <c r="E14" s="306" t="s">
        <v>480</v>
      </c>
      <c r="F14" s="307">
        <v>0.0077</v>
      </c>
      <c r="G14" s="315">
        <v>442</v>
      </c>
      <c r="H14" s="315">
        <v>217</v>
      </c>
      <c r="I14" s="315">
        <v>14</v>
      </c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10"/>
      <c r="U14" s="310"/>
      <c r="V14" s="311">
        <f t="shared" si="1"/>
        <v>673</v>
      </c>
      <c r="X14" s="298"/>
    </row>
    <row r="15" spans="1:24" ht="12.75">
      <c r="A15" s="399">
        <v>5</v>
      </c>
      <c r="B15" s="299" t="s">
        <v>477</v>
      </c>
      <c r="C15" s="405" t="s">
        <v>660</v>
      </c>
      <c r="D15" s="409">
        <v>1132852.22</v>
      </c>
      <c r="E15" s="316" t="s">
        <v>483</v>
      </c>
      <c r="F15" s="299" t="s">
        <v>474</v>
      </c>
      <c r="G15" s="301">
        <v>215787.04</v>
      </c>
      <c r="H15" s="301">
        <v>215787.04</v>
      </c>
      <c r="I15" s="301">
        <v>53917</v>
      </c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303"/>
      <c r="V15" s="304">
        <f t="shared" si="1"/>
        <v>485491.08</v>
      </c>
      <c r="X15" s="298"/>
    </row>
    <row r="16" spans="1:24" ht="12.75">
      <c r="A16" s="400"/>
      <c r="B16" s="305" t="s">
        <v>484</v>
      </c>
      <c r="C16" s="406"/>
      <c r="D16" s="410"/>
      <c r="E16" s="306" t="s">
        <v>485</v>
      </c>
      <c r="F16" s="307">
        <v>0.0077</v>
      </c>
      <c r="G16" s="308">
        <v>4192</v>
      </c>
      <c r="H16" s="308">
        <v>2397</v>
      </c>
      <c r="I16" s="315">
        <v>379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310"/>
      <c r="V16" s="311">
        <f t="shared" si="1"/>
        <v>6968</v>
      </c>
      <c r="X16" s="298"/>
    </row>
    <row r="17" spans="1:24" ht="12.75">
      <c r="A17" s="399">
        <v>6</v>
      </c>
      <c r="B17" s="299" t="s">
        <v>477</v>
      </c>
      <c r="C17" s="401" t="s">
        <v>663</v>
      </c>
      <c r="D17" s="413">
        <v>72231.67</v>
      </c>
      <c r="E17" s="300" t="s">
        <v>486</v>
      </c>
      <c r="F17" s="299" t="s">
        <v>474</v>
      </c>
      <c r="G17" s="301">
        <v>13762</v>
      </c>
      <c r="H17" s="301">
        <v>13762</v>
      </c>
      <c r="I17" s="301">
        <v>3421.64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303"/>
      <c r="V17" s="304">
        <f t="shared" si="1"/>
        <v>30945.64</v>
      </c>
      <c r="X17" s="298"/>
    </row>
    <row r="18" spans="1:24" ht="12.75">
      <c r="A18" s="400"/>
      <c r="B18" s="305" t="s">
        <v>487</v>
      </c>
      <c r="C18" s="402"/>
      <c r="D18" s="414"/>
      <c r="E18" s="306" t="s">
        <v>485</v>
      </c>
      <c r="F18" s="307">
        <v>0.0077</v>
      </c>
      <c r="G18" s="315">
        <v>273</v>
      </c>
      <c r="H18" s="315">
        <v>153</v>
      </c>
      <c r="I18" s="315">
        <v>24</v>
      </c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10"/>
      <c r="U18" s="310"/>
      <c r="V18" s="311">
        <f t="shared" si="1"/>
        <v>450</v>
      </c>
      <c r="X18" s="298"/>
    </row>
    <row r="19" spans="1:24" ht="12.75" customHeight="1">
      <c r="A19" s="399">
        <v>7</v>
      </c>
      <c r="B19" s="299" t="s">
        <v>477</v>
      </c>
      <c r="C19" s="401" t="s">
        <v>664</v>
      </c>
      <c r="D19" s="407">
        <v>139137.57</v>
      </c>
      <c r="E19" s="300" t="s">
        <v>486</v>
      </c>
      <c r="F19" s="299" t="s">
        <v>474</v>
      </c>
      <c r="G19" s="301">
        <v>26505.24</v>
      </c>
      <c r="H19" s="301">
        <v>26505.24</v>
      </c>
      <c r="I19" s="301">
        <v>6611.32</v>
      </c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3"/>
      <c r="U19" s="303"/>
      <c r="V19" s="304">
        <f t="shared" si="1"/>
        <v>59621.8</v>
      </c>
      <c r="X19" s="298"/>
    </row>
    <row r="20" spans="1:24" ht="12.75">
      <c r="A20" s="400"/>
      <c r="B20" s="305" t="s">
        <v>488</v>
      </c>
      <c r="C20" s="402"/>
      <c r="D20" s="408"/>
      <c r="E20" s="306" t="s">
        <v>485</v>
      </c>
      <c r="F20" s="307">
        <v>0.0077</v>
      </c>
      <c r="G20" s="308">
        <v>623</v>
      </c>
      <c r="H20" s="315">
        <v>563</v>
      </c>
      <c r="I20" s="315">
        <v>241</v>
      </c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10"/>
      <c r="U20" s="310"/>
      <c r="V20" s="311">
        <f t="shared" si="1"/>
        <v>1427</v>
      </c>
      <c r="X20" s="298"/>
    </row>
    <row r="21" spans="1:24" ht="12.75" customHeight="1">
      <c r="A21" s="399">
        <v>8</v>
      </c>
      <c r="B21" s="299" t="s">
        <v>477</v>
      </c>
      <c r="C21" s="401" t="s">
        <v>489</v>
      </c>
      <c r="D21" s="407">
        <v>33984.33</v>
      </c>
      <c r="E21" s="300" t="s">
        <v>486</v>
      </c>
      <c r="F21" s="299" t="s">
        <v>474</v>
      </c>
      <c r="G21" s="301">
        <v>6476.92</v>
      </c>
      <c r="H21" s="301">
        <v>6476.92</v>
      </c>
      <c r="I21" s="301">
        <v>1599.74</v>
      </c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3"/>
      <c r="U21" s="303"/>
      <c r="V21" s="304">
        <f t="shared" si="1"/>
        <v>14553.58</v>
      </c>
      <c r="X21" s="298"/>
    </row>
    <row r="22" spans="1:24" ht="12.75">
      <c r="A22" s="400"/>
      <c r="B22" s="305" t="s">
        <v>490</v>
      </c>
      <c r="C22" s="402"/>
      <c r="D22" s="408"/>
      <c r="E22" s="306" t="s">
        <v>485</v>
      </c>
      <c r="F22" s="307">
        <v>0.0077</v>
      </c>
      <c r="G22" s="315">
        <v>129</v>
      </c>
      <c r="H22" s="315">
        <v>72</v>
      </c>
      <c r="I22" s="315">
        <v>11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10"/>
      <c r="U22" s="310"/>
      <c r="V22" s="311">
        <f t="shared" si="1"/>
        <v>212</v>
      </c>
      <c r="X22" s="298"/>
    </row>
    <row r="23" spans="1:24" s="288" customFormat="1" ht="12.75" customHeight="1">
      <c r="A23" s="399">
        <v>9</v>
      </c>
      <c r="B23" s="299" t="s">
        <v>477</v>
      </c>
      <c r="C23" s="401" t="s">
        <v>665</v>
      </c>
      <c r="D23" s="407">
        <v>57932.23</v>
      </c>
      <c r="E23" s="300" t="s">
        <v>486</v>
      </c>
      <c r="F23" s="299" t="s">
        <v>474</v>
      </c>
      <c r="G23" s="301">
        <v>11035.8</v>
      </c>
      <c r="H23" s="301">
        <v>11035.8</v>
      </c>
      <c r="I23" s="301">
        <v>2753.24</v>
      </c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3"/>
      <c r="U23" s="303"/>
      <c r="V23" s="304">
        <f t="shared" si="1"/>
        <v>24824.839999999997</v>
      </c>
      <c r="X23" s="298"/>
    </row>
    <row r="24" spans="1:24" s="288" customFormat="1" ht="12.75">
      <c r="A24" s="400"/>
      <c r="B24" s="305" t="s">
        <v>491</v>
      </c>
      <c r="C24" s="402"/>
      <c r="D24" s="408"/>
      <c r="E24" s="306" t="s">
        <v>485</v>
      </c>
      <c r="F24" s="307">
        <v>0.0077</v>
      </c>
      <c r="G24" s="315">
        <v>214</v>
      </c>
      <c r="H24" s="315">
        <v>123</v>
      </c>
      <c r="I24" s="315">
        <v>19</v>
      </c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10"/>
      <c r="U24" s="310"/>
      <c r="V24" s="311">
        <f t="shared" si="1"/>
        <v>356</v>
      </c>
      <c r="X24" s="298"/>
    </row>
    <row r="25" spans="1:24" ht="12.75" customHeight="1">
      <c r="A25" s="399">
        <v>10</v>
      </c>
      <c r="B25" s="299" t="s">
        <v>477</v>
      </c>
      <c r="C25" s="401" t="s">
        <v>666</v>
      </c>
      <c r="D25" s="407">
        <v>309065.2</v>
      </c>
      <c r="E25" s="300" t="s">
        <v>492</v>
      </c>
      <c r="F25" s="299" t="s">
        <v>474</v>
      </c>
      <c r="G25" s="301">
        <v>58872.76</v>
      </c>
      <c r="H25" s="301">
        <v>58872.76</v>
      </c>
      <c r="I25" s="301">
        <v>14701.43</v>
      </c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3"/>
      <c r="U25" s="303"/>
      <c r="V25" s="304">
        <f t="shared" si="1"/>
        <v>132446.95</v>
      </c>
      <c r="X25" s="298"/>
    </row>
    <row r="26" spans="1:24" ht="12.75">
      <c r="A26" s="400"/>
      <c r="B26" s="305" t="s">
        <v>493</v>
      </c>
      <c r="C26" s="402"/>
      <c r="D26" s="408"/>
      <c r="E26" s="306" t="s">
        <v>485</v>
      </c>
      <c r="F26" s="307">
        <v>0.0077</v>
      </c>
      <c r="G26" s="308">
        <v>1169</v>
      </c>
      <c r="H26" s="315">
        <v>654</v>
      </c>
      <c r="I26" s="315">
        <v>103</v>
      </c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10"/>
      <c r="U26" s="310"/>
      <c r="V26" s="311">
        <f t="shared" si="1"/>
        <v>1926</v>
      </c>
      <c r="X26" s="298"/>
    </row>
    <row r="27" spans="1:24" ht="12.75" customHeight="1">
      <c r="A27" s="399">
        <v>11</v>
      </c>
      <c r="B27" s="299" t="s">
        <v>477</v>
      </c>
      <c r="C27" s="401" t="s">
        <v>667</v>
      </c>
      <c r="D27" s="407">
        <v>41830.47</v>
      </c>
      <c r="E27" s="300" t="s">
        <v>492</v>
      </c>
      <c r="F27" s="299" t="s">
        <v>474</v>
      </c>
      <c r="G27" s="301">
        <v>7968.08</v>
      </c>
      <c r="H27" s="301">
        <v>7968.08</v>
      </c>
      <c r="I27" s="301">
        <v>1990.06</v>
      </c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3"/>
      <c r="U27" s="303"/>
      <c r="V27" s="304">
        <f t="shared" si="1"/>
        <v>17926.22</v>
      </c>
      <c r="X27" s="298"/>
    </row>
    <row r="28" spans="1:24" ht="12.75">
      <c r="A28" s="400"/>
      <c r="B28" s="305" t="s">
        <v>494</v>
      </c>
      <c r="C28" s="402"/>
      <c r="D28" s="408"/>
      <c r="E28" s="306" t="s">
        <v>485</v>
      </c>
      <c r="F28" s="307">
        <v>0.0077</v>
      </c>
      <c r="G28" s="315">
        <v>159</v>
      </c>
      <c r="H28" s="315">
        <v>89</v>
      </c>
      <c r="I28" s="315">
        <v>14</v>
      </c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10"/>
      <c r="U28" s="310"/>
      <c r="V28" s="311">
        <f t="shared" si="1"/>
        <v>262</v>
      </c>
      <c r="X28" s="298"/>
    </row>
    <row r="29" spans="1:24" s="288" customFormat="1" ht="12.75" customHeight="1">
      <c r="A29" s="399">
        <v>12</v>
      </c>
      <c r="B29" s="299" t="s">
        <v>477</v>
      </c>
      <c r="C29" s="401" t="s">
        <v>495</v>
      </c>
      <c r="D29" s="407">
        <v>1004220</v>
      </c>
      <c r="E29" s="300" t="s">
        <v>492</v>
      </c>
      <c r="F29" s="299" t="s">
        <v>474</v>
      </c>
      <c r="G29" s="301">
        <v>1422.88</v>
      </c>
      <c r="H29" s="301">
        <v>85548.76</v>
      </c>
      <c r="I29" s="301">
        <v>85548.76</v>
      </c>
      <c r="J29" s="301">
        <v>85548.76</v>
      </c>
      <c r="K29" s="301">
        <v>111871.88</v>
      </c>
      <c r="L29" s="301">
        <v>111871.88</v>
      </c>
      <c r="M29" s="301">
        <v>111871.88</v>
      </c>
      <c r="N29" s="301">
        <v>26541.93</v>
      </c>
      <c r="O29" s="302"/>
      <c r="P29" s="302"/>
      <c r="Q29" s="302"/>
      <c r="R29" s="302"/>
      <c r="S29" s="302"/>
      <c r="T29" s="303"/>
      <c r="U29" s="303"/>
      <c r="V29" s="304">
        <f t="shared" si="1"/>
        <v>620226.7300000001</v>
      </c>
      <c r="X29" s="298"/>
    </row>
    <row r="30" spans="1:24" s="288" customFormat="1" ht="12.75">
      <c r="A30" s="400"/>
      <c r="B30" s="305" t="s">
        <v>496</v>
      </c>
      <c r="C30" s="402"/>
      <c r="D30" s="408"/>
      <c r="E30" s="306" t="s">
        <v>485</v>
      </c>
      <c r="F30" s="307">
        <v>0.0077</v>
      </c>
      <c r="G30" s="308">
        <v>5938</v>
      </c>
      <c r="H30" s="308">
        <v>6093</v>
      </c>
      <c r="I30" s="308">
        <v>5288</v>
      </c>
      <c r="J30" s="308">
        <v>4406</v>
      </c>
      <c r="K30" s="308">
        <v>3482</v>
      </c>
      <c r="L30" s="308">
        <v>2363</v>
      </c>
      <c r="M30" s="315">
        <v>1232</v>
      </c>
      <c r="N30" s="315">
        <v>189</v>
      </c>
      <c r="O30" s="309"/>
      <c r="P30" s="309"/>
      <c r="Q30" s="309"/>
      <c r="R30" s="309"/>
      <c r="S30" s="309"/>
      <c r="T30" s="310"/>
      <c r="U30" s="310"/>
      <c r="V30" s="311">
        <f t="shared" si="1"/>
        <v>28991</v>
      </c>
      <c r="X30" s="298"/>
    </row>
    <row r="31" spans="1:24" s="288" customFormat="1" ht="12.75" customHeight="1">
      <c r="A31" s="399">
        <v>13</v>
      </c>
      <c r="B31" s="299" t="s">
        <v>477</v>
      </c>
      <c r="C31" s="401" t="s">
        <v>668</v>
      </c>
      <c r="D31" s="407">
        <v>856134.53</v>
      </c>
      <c r="E31" s="316" t="s">
        <v>497</v>
      </c>
      <c r="F31" s="299" t="s">
        <v>474</v>
      </c>
      <c r="G31" s="301">
        <v>72902.28</v>
      </c>
      <c r="H31" s="301">
        <v>72902.28</v>
      </c>
      <c r="I31" s="301">
        <v>72902.28</v>
      </c>
      <c r="J31" s="301">
        <v>72902.28</v>
      </c>
      <c r="K31" s="301">
        <v>72902.28</v>
      </c>
      <c r="L31" s="301">
        <v>72902.28</v>
      </c>
      <c r="M31" s="301">
        <v>72902.28</v>
      </c>
      <c r="N31" s="301">
        <v>18239.32</v>
      </c>
      <c r="O31" s="302"/>
      <c r="P31" s="302"/>
      <c r="Q31" s="302"/>
      <c r="R31" s="302"/>
      <c r="S31" s="302"/>
      <c r="T31" s="303"/>
      <c r="U31" s="303"/>
      <c r="V31" s="304">
        <f t="shared" si="1"/>
        <v>528555.28</v>
      </c>
      <c r="X31" s="298"/>
    </row>
    <row r="32" spans="1:24" s="288" customFormat="1" ht="12.75">
      <c r="A32" s="400"/>
      <c r="B32" s="305" t="s">
        <v>498</v>
      </c>
      <c r="C32" s="402"/>
      <c r="D32" s="408"/>
      <c r="E32" s="317">
        <v>42389</v>
      </c>
      <c r="F32" s="307">
        <v>0.0077</v>
      </c>
      <c r="G32" s="308">
        <v>4909</v>
      </c>
      <c r="H32" s="315">
        <v>4506</v>
      </c>
      <c r="I32" s="315">
        <v>3777</v>
      </c>
      <c r="J32" s="315">
        <v>3028</v>
      </c>
      <c r="K32" s="315">
        <v>2288</v>
      </c>
      <c r="L32" s="315">
        <v>1549</v>
      </c>
      <c r="M32" s="315">
        <v>813</v>
      </c>
      <c r="N32" s="315">
        <v>128</v>
      </c>
      <c r="O32" s="315"/>
      <c r="P32" s="315"/>
      <c r="Q32" s="315"/>
      <c r="R32" s="315"/>
      <c r="S32" s="315"/>
      <c r="T32" s="318"/>
      <c r="U32" s="318"/>
      <c r="V32" s="311">
        <f t="shared" si="1"/>
        <v>20998</v>
      </c>
      <c r="X32" s="298"/>
    </row>
    <row r="33" spans="1:24" s="288" customFormat="1" ht="12.75" customHeight="1">
      <c r="A33" s="399">
        <v>14</v>
      </c>
      <c r="B33" s="299" t="s">
        <v>477</v>
      </c>
      <c r="C33" s="401" t="s">
        <v>499</v>
      </c>
      <c r="D33" s="407">
        <v>37946.57</v>
      </c>
      <c r="E33" s="300" t="s">
        <v>492</v>
      </c>
      <c r="F33" s="299" t="s">
        <v>474</v>
      </c>
      <c r="G33" s="301">
        <v>7228.2</v>
      </c>
      <c r="H33" s="301">
        <v>7228.2</v>
      </c>
      <c r="I33" s="301">
        <v>1805.59</v>
      </c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3"/>
      <c r="U33" s="303"/>
      <c r="V33" s="304">
        <f t="shared" si="1"/>
        <v>16261.99</v>
      </c>
      <c r="X33" s="298"/>
    </row>
    <row r="34" spans="1:24" s="288" customFormat="1" ht="12.75">
      <c r="A34" s="400"/>
      <c r="B34" s="305" t="s">
        <v>500</v>
      </c>
      <c r="C34" s="402"/>
      <c r="D34" s="408"/>
      <c r="E34" s="306" t="s">
        <v>485</v>
      </c>
      <c r="F34" s="307">
        <v>0.0077</v>
      </c>
      <c r="G34" s="315">
        <v>144</v>
      </c>
      <c r="H34" s="309">
        <v>80</v>
      </c>
      <c r="I34" s="309">
        <v>13</v>
      </c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10"/>
      <c r="U34" s="310"/>
      <c r="V34" s="311">
        <f t="shared" si="1"/>
        <v>237</v>
      </c>
      <c r="X34" s="298"/>
    </row>
    <row r="35" spans="1:24" s="288" customFormat="1" ht="12.75">
      <c r="A35" s="399">
        <v>15</v>
      </c>
      <c r="B35" s="299" t="s">
        <v>477</v>
      </c>
      <c r="C35" s="401" t="s">
        <v>669</v>
      </c>
      <c r="D35" s="413">
        <v>2397578.84</v>
      </c>
      <c r="E35" s="316" t="s">
        <v>501</v>
      </c>
      <c r="F35" s="299" t="s">
        <v>474</v>
      </c>
      <c r="G35" s="301">
        <v>1422.88</v>
      </c>
      <c r="H35" s="301">
        <v>210277.68</v>
      </c>
      <c r="I35" s="301">
        <v>210277.68</v>
      </c>
      <c r="J35" s="301">
        <v>210277.68</v>
      </c>
      <c r="K35" s="301">
        <v>259753.8</v>
      </c>
      <c r="L35" s="301">
        <v>259753.8</v>
      </c>
      <c r="M35" s="301">
        <v>259753.8</v>
      </c>
      <c r="N35" s="301">
        <v>259753.8</v>
      </c>
      <c r="O35" s="301">
        <v>63534.02</v>
      </c>
      <c r="P35" s="302"/>
      <c r="Q35" s="302"/>
      <c r="R35" s="302"/>
      <c r="S35" s="302"/>
      <c r="T35" s="303"/>
      <c r="U35" s="303"/>
      <c r="V35" s="304">
        <f t="shared" si="1"/>
        <v>1734805.1400000001</v>
      </c>
      <c r="X35" s="298"/>
    </row>
    <row r="36" spans="1:24" s="288" customFormat="1" ht="12.75">
      <c r="A36" s="400"/>
      <c r="B36" s="305" t="s">
        <v>502</v>
      </c>
      <c r="C36" s="402"/>
      <c r="D36" s="414"/>
      <c r="E36" s="306" t="s">
        <v>503</v>
      </c>
      <c r="F36" s="307">
        <v>0.0077</v>
      </c>
      <c r="G36" s="308">
        <v>16615</v>
      </c>
      <c r="H36" s="308">
        <v>17129</v>
      </c>
      <c r="I36" s="308">
        <v>15156</v>
      </c>
      <c r="J36" s="308">
        <v>12982</v>
      </c>
      <c r="K36" s="308">
        <v>10745</v>
      </c>
      <c r="L36" s="308">
        <v>8139</v>
      </c>
      <c r="M36" s="308">
        <v>5522</v>
      </c>
      <c r="N36" s="308">
        <v>2872</v>
      </c>
      <c r="O36" s="315">
        <v>448</v>
      </c>
      <c r="P36" s="309"/>
      <c r="Q36" s="309"/>
      <c r="R36" s="309"/>
      <c r="S36" s="309"/>
      <c r="T36" s="310"/>
      <c r="U36" s="310"/>
      <c r="V36" s="311">
        <f t="shared" si="1"/>
        <v>89608</v>
      </c>
      <c r="X36" s="298"/>
    </row>
    <row r="37" spans="1:24" s="288" customFormat="1" ht="12.75" customHeight="1">
      <c r="A37" s="399">
        <v>16</v>
      </c>
      <c r="B37" s="299" t="s">
        <v>477</v>
      </c>
      <c r="C37" s="401" t="s">
        <v>670</v>
      </c>
      <c r="D37" s="407">
        <v>384955.12</v>
      </c>
      <c r="E37" s="316" t="s">
        <v>501</v>
      </c>
      <c r="F37" s="299" t="s">
        <v>474</v>
      </c>
      <c r="G37" s="301">
        <v>53500</v>
      </c>
      <c r="H37" s="301">
        <v>53500</v>
      </c>
      <c r="I37" s="301">
        <v>53500</v>
      </c>
      <c r="J37" s="301">
        <v>10455.18</v>
      </c>
      <c r="K37" s="302"/>
      <c r="L37" s="302"/>
      <c r="M37" s="302"/>
      <c r="N37" s="302"/>
      <c r="O37" s="302"/>
      <c r="P37" s="302"/>
      <c r="Q37" s="302"/>
      <c r="R37" s="302"/>
      <c r="S37" s="302"/>
      <c r="T37" s="303"/>
      <c r="U37" s="303"/>
      <c r="V37" s="304">
        <f t="shared" si="1"/>
        <v>170955.18</v>
      </c>
      <c r="X37" s="298"/>
    </row>
    <row r="38" spans="1:24" s="288" customFormat="1" ht="12.75">
      <c r="A38" s="400"/>
      <c r="B38" s="305" t="s">
        <v>504</v>
      </c>
      <c r="C38" s="402"/>
      <c r="D38" s="408"/>
      <c r="E38" s="306" t="s">
        <v>503</v>
      </c>
      <c r="F38" s="307">
        <v>0.0077</v>
      </c>
      <c r="G38" s="308">
        <v>1546</v>
      </c>
      <c r="H38" s="308">
        <v>1107</v>
      </c>
      <c r="I38" s="315">
        <v>567</v>
      </c>
      <c r="J38" s="315">
        <v>80</v>
      </c>
      <c r="K38" s="309"/>
      <c r="L38" s="309"/>
      <c r="M38" s="309"/>
      <c r="N38" s="309"/>
      <c r="O38" s="309"/>
      <c r="P38" s="309"/>
      <c r="Q38" s="309"/>
      <c r="R38" s="309"/>
      <c r="S38" s="309"/>
      <c r="T38" s="310"/>
      <c r="U38" s="310"/>
      <c r="V38" s="311">
        <f t="shared" si="1"/>
        <v>3300</v>
      </c>
      <c r="X38" s="298"/>
    </row>
    <row r="39" spans="1:24" s="288" customFormat="1" ht="12.75" customHeight="1">
      <c r="A39" s="399">
        <v>17</v>
      </c>
      <c r="B39" s="299" t="s">
        <v>477</v>
      </c>
      <c r="C39" s="401" t="s">
        <v>505</v>
      </c>
      <c r="D39" s="407">
        <v>1547885.33</v>
      </c>
      <c r="E39" s="316" t="s">
        <v>501</v>
      </c>
      <c r="F39" s="299" t="s">
        <v>474</v>
      </c>
      <c r="G39" s="301">
        <v>109840</v>
      </c>
      <c r="H39" s="301">
        <v>109840</v>
      </c>
      <c r="I39" s="301">
        <v>109840</v>
      </c>
      <c r="J39" s="301">
        <v>109840</v>
      </c>
      <c r="K39" s="301">
        <v>109840</v>
      </c>
      <c r="L39" s="301">
        <v>109840</v>
      </c>
      <c r="M39" s="301">
        <v>109840</v>
      </c>
      <c r="N39" s="301">
        <v>109840</v>
      </c>
      <c r="O39" s="301">
        <v>27450.13</v>
      </c>
      <c r="P39" s="302"/>
      <c r="Q39" s="302"/>
      <c r="R39" s="302"/>
      <c r="S39" s="302"/>
      <c r="T39" s="303"/>
      <c r="U39" s="303"/>
      <c r="V39" s="304">
        <f t="shared" si="1"/>
        <v>906170.13</v>
      </c>
      <c r="X39" s="298"/>
    </row>
    <row r="40" spans="1:24" s="288" customFormat="1" ht="12.75">
      <c r="A40" s="400"/>
      <c r="B40" s="305" t="s">
        <v>506</v>
      </c>
      <c r="C40" s="402"/>
      <c r="D40" s="408"/>
      <c r="E40" s="306" t="s">
        <v>503</v>
      </c>
      <c r="F40" s="307">
        <v>0.0077</v>
      </c>
      <c r="G40" s="308">
        <v>8447</v>
      </c>
      <c r="H40" s="308">
        <v>7902</v>
      </c>
      <c r="I40" s="308">
        <v>6808</v>
      </c>
      <c r="J40" s="308">
        <v>5675</v>
      </c>
      <c r="K40" s="308">
        <v>4561</v>
      </c>
      <c r="L40" s="308">
        <v>3448</v>
      </c>
      <c r="M40" s="308">
        <v>2341</v>
      </c>
      <c r="N40" s="308">
        <v>1220</v>
      </c>
      <c r="O40" s="315">
        <v>192</v>
      </c>
      <c r="P40" s="315"/>
      <c r="Q40" s="309"/>
      <c r="R40" s="309"/>
      <c r="S40" s="309"/>
      <c r="T40" s="310"/>
      <c r="U40" s="310"/>
      <c r="V40" s="311">
        <f t="shared" si="1"/>
        <v>40594</v>
      </c>
      <c r="X40" s="298"/>
    </row>
    <row r="41" spans="1:24" s="288" customFormat="1" ht="12.75" customHeight="1">
      <c r="A41" s="399">
        <v>18</v>
      </c>
      <c r="B41" s="299" t="s">
        <v>477</v>
      </c>
      <c r="C41" s="401" t="s">
        <v>671</v>
      </c>
      <c r="D41" s="407">
        <v>4785648.63</v>
      </c>
      <c r="E41" s="316" t="s">
        <v>501</v>
      </c>
      <c r="F41" s="299" t="s">
        <v>474</v>
      </c>
      <c r="G41" s="301">
        <v>1422.88</v>
      </c>
      <c r="H41" s="301">
        <v>419855.32</v>
      </c>
      <c r="I41" s="301">
        <v>419855.32</v>
      </c>
      <c r="J41" s="301">
        <v>419855.32</v>
      </c>
      <c r="K41" s="301">
        <v>518642.48</v>
      </c>
      <c r="L41" s="301">
        <v>518642.48</v>
      </c>
      <c r="M41" s="301">
        <v>518642.48</v>
      </c>
      <c r="N41" s="301">
        <v>518642.48</v>
      </c>
      <c r="O41" s="301">
        <v>128241.95</v>
      </c>
      <c r="P41" s="302"/>
      <c r="Q41" s="302"/>
      <c r="R41" s="302"/>
      <c r="S41" s="302"/>
      <c r="T41" s="303"/>
      <c r="U41" s="303"/>
      <c r="V41" s="304">
        <f t="shared" si="1"/>
        <v>3463800.71</v>
      </c>
      <c r="X41" s="298"/>
    </row>
    <row r="42" spans="1:24" s="288" customFormat="1" ht="12.75">
      <c r="A42" s="400"/>
      <c r="B42" s="305" t="s">
        <v>507</v>
      </c>
      <c r="C42" s="402"/>
      <c r="D42" s="408"/>
      <c r="E42" s="306" t="s">
        <v>503</v>
      </c>
      <c r="F42" s="307">
        <v>0.0077</v>
      </c>
      <c r="G42" s="308">
        <v>33176</v>
      </c>
      <c r="H42" s="308">
        <v>34213</v>
      </c>
      <c r="I42" s="308">
        <v>30276</v>
      </c>
      <c r="J42" s="308">
        <v>25935</v>
      </c>
      <c r="K42" s="308">
        <v>21468</v>
      </c>
      <c r="L42" s="308">
        <v>16265</v>
      </c>
      <c r="M42" s="308">
        <v>11039</v>
      </c>
      <c r="N42" s="308">
        <v>5748</v>
      </c>
      <c r="O42" s="315">
        <v>901</v>
      </c>
      <c r="P42" s="309"/>
      <c r="Q42" s="309"/>
      <c r="R42" s="309"/>
      <c r="S42" s="309"/>
      <c r="T42" s="310"/>
      <c r="U42" s="310"/>
      <c r="V42" s="311">
        <f t="shared" si="1"/>
        <v>179021</v>
      </c>
      <c r="X42" s="298"/>
    </row>
    <row r="43" spans="1:24" s="288" customFormat="1" ht="12.75" customHeight="1">
      <c r="A43" s="399">
        <v>19</v>
      </c>
      <c r="B43" s="299" t="s">
        <v>477</v>
      </c>
      <c r="C43" s="401" t="s">
        <v>672</v>
      </c>
      <c r="D43" s="407">
        <v>1228934.38</v>
      </c>
      <c r="E43" s="316" t="s">
        <v>501</v>
      </c>
      <c r="F43" s="299" t="s">
        <v>474</v>
      </c>
      <c r="G43" s="301">
        <v>87113.92</v>
      </c>
      <c r="H43" s="301">
        <v>87113.92</v>
      </c>
      <c r="I43" s="301">
        <v>87113.92</v>
      </c>
      <c r="J43" s="301">
        <v>87113.92</v>
      </c>
      <c r="K43" s="301">
        <v>87113.92</v>
      </c>
      <c r="L43" s="301">
        <v>87113.92</v>
      </c>
      <c r="M43" s="301">
        <v>87113.92</v>
      </c>
      <c r="N43" s="301">
        <v>87113.92</v>
      </c>
      <c r="O43" s="301">
        <v>21781.18</v>
      </c>
      <c r="P43" s="301"/>
      <c r="Q43" s="301"/>
      <c r="R43" s="301"/>
      <c r="S43" s="301"/>
      <c r="T43" s="319"/>
      <c r="U43" s="319"/>
      <c r="V43" s="304">
        <f t="shared" si="1"/>
        <v>718692.54</v>
      </c>
      <c r="X43" s="298"/>
    </row>
    <row r="44" spans="1:24" s="288" customFormat="1" ht="12.75">
      <c r="A44" s="400"/>
      <c r="B44" s="305" t="s">
        <v>508</v>
      </c>
      <c r="C44" s="402"/>
      <c r="D44" s="408"/>
      <c r="E44" s="306" t="s">
        <v>503</v>
      </c>
      <c r="F44" s="307">
        <v>0.0077</v>
      </c>
      <c r="G44" s="308">
        <v>6700</v>
      </c>
      <c r="H44" s="308">
        <v>6268</v>
      </c>
      <c r="I44" s="308">
        <v>5400</v>
      </c>
      <c r="J44" s="308">
        <v>4500</v>
      </c>
      <c r="K44" s="308">
        <v>3618</v>
      </c>
      <c r="L44" s="308">
        <v>2734</v>
      </c>
      <c r="M44" s="308">
        <v>1856</v>
      </c>
      <c r="N44" s="308">
        <v>968</v>
      </c>
      <c r="O44" s="308">
        <v>152</v>
      </c>
      <c r="P44" s="320"/>
      <c r="Q44" s="321"/>
      <c r="R44" s="321"/>
      <c r="S44" s="321"/>
      <c r="T44" s="322"/>
      <c r="U44" s="322"/>
      <c r="V44" s="311">
        <f t="shared" si="1"/>
        <v>32196</v>
      </c>
      <c r="X44" s="298"/>
    </row>
    <row r="45" spans="1:24" s="288" customFormat="1" ht="12.75" customHeight="1">
      <c r="A45" s="399">
        <v>20</v>
      </c>
      <c r="B45" s="299" t="s">
        <v>477</v>
      </c>
      <c r="C45" s="401" t="s">
        <v>673</v>
      </c>
      <c r="D45" s="407">
        <v>754990.52</v>
      </c>
      <c r="E45" s="316" t="s">
        <v>501</v>
      </c>
      <c r="F45" s="299" t="s">
        <v>474</v>
      </c>
      <c r="G45" s="301">
        <v>91342.68</v>
      </c>
      <c r="H45" s="301">
        <v>91342.68</v>
      </c>
      <c r="I45" s="301">
        <v>91342.68</v>
      </c>
      <c r="J45" s="301">
        <v>91342.68</v>
      </c>
      <c r="K45" s="301">
        <v>91342.68</v>
      </c>
      <c r="L45" s="301">
        <v>91342.68</v>
      </c>
      <c r="M45" s="301">
        <v>91342.68</v>
      </c>
      <c r="N45" s="301">
        <v>91342.68</v>
      </c>
      <c r="O45" s="301">
        <v>22826.2</v>
      </c>
      <c r="P45" s="301"/>
      <c r="Q45" s="301"/>
      <c r="R45" s="301"/>
      <c r="S45" s="301"/>
      <c r="T45" s="319"/>
      <c r="U45" s="319"/>
      <c r="V45" s="304">
        <f t="shared" si="1"/>
        <v>753567.6399999999</v>
      </c>
      <c r="X45" s="298"/>
    </row>
    <row r="46" spans="1:24" s="288" customFormat="1" ht="21" customHeight="1">
      <c r="A46" s="400"/>
      <c r="B46" s="305" t="s">
        <v>509</v>
      </c>
      <c r="C46" s="402"/>
      <c r="D46" s="408"/>
      <c r="E46" s="306" t="s">
        <v>503</v>
      </c>
      <c r="F46" s="307">
        <v>0.0077</v>
      </c>
      <c r="G46" s="308">
        <v>7025</v>
      </c>
      <c r="H46" s="308">
        <v>6572</v>
      </c>
      <c r="I46" s="308">
        <v>5661</v>
      </c>
      <c r="J46" s="308">
        <v>4719</v>
      </c>
      <c r="K46" s="308">
        <v>3793</v>
      </c>
      <c r="L46" s="308">
        <v>2867</v>
      </c>
      <c r="M46" s="308">
        <v>1947</v>
      </c>
      <c r="N46" s="308">
        <v>1015</v>
      </c>
      <c r="O46" s="308">
        <v>160</v>
      </c>
      <c r="P46" s="321"/>
      <c r="Q46" s="321"/>
      <c r="R46" s="321"/>
      <c r="S46" s="321"/>
      <c r="T46" s="322"/>
      <c r="U46" s="322"/>
      <c r="V46" s="311">
        <f t="shared" si="1"/>
        <v>33759</v>
      </c>
      <c r="X46" s="298"/>
    </row>
    <row r="47" spans="1:24" s="288" customFormat="1" ht="12.75" customHeight="1">
      <c r="A47" s="399">
        <v>21</v>
      </c>
      <c r="B47" s="299" t="s">
        <v>477</v>
      </c>
      <c r="C47" s="401" t="s">
        <v>674</v>
      </c>
      <c r="D47" s="407">
        <v>2963664.12</v>
      </c>
      <c r="E47" s="300" t="s">
        <v>510</v>
      </c>
      <c r="F47" s="299" t="s">
        <v>474</v>
      </c>
      <c r="G47" s="301">
        <v>223567.32</v>
      </c>
      <c r="H47" s="301">
        <v>223567.32</v>
      </c>
      <c r="I47" s="301">
        <v>223567.32</v>
      </c>
      <c r="J47" s="301">
        <v>223567.32</v>
      </c>
      <c r="K47" s="301">
        <v>223567.32</v>
      </c>
      <c r="L47" s="301">
        <v>223567.32</v>
      </c>
      <c r="M47" s="301">
        <v>223567.32</v>
      </c>
      <c r="N47" s="301">
        <v>223567.32</v>
      </c>
      <c r="O47" s="301">
        <v>223567.32</v>
      </c>
      <c r="P47" s="301">
        <v>223567.32</v>
      </c>
      <c r="Q47" s="301">
        <v>223567.32</v>
      </c>
      <c r="R47" s="301">
        <v>223567.32</v>
      </c>
      <c r="S47" s="301">
        <v>223567.32</v>
      </c>
      <c r="T47" s="319">
        <v>55866.08</v>
      </c>
      <c r="U47" s="319"/>
      <c r="V47" s="304">
        <f t="shared" si="1"/>
        <v>2962241.2399999998</v>
      </c>
      <c r="X47" s="298"/>
    </row>
    <row r="48" spans="1:24" s="288" customFormat="1" ht="12.75">
      <c r="A48" s="400"/>
      <c r="B48" s="305" t="s">
        <v>511</v>
      </c>
      <c r="C48" s="402"/>
      <c r="D48" s="408"/>
      <c r="E48" s="306" t="s">
        <v>512</v>
      </c>
      <c r="F48" s="307">
        <v>0.0077</v>
      </c>
      <c r="G48" s="308">
        <v>27900</v>
      </c>
      <c r="H48" s="308">
        <v>27418</v>
      </c>
      <c r="I48" s="308">
        <v>25221</v>
      </c>
      <c r="J48" s="308">
        <v>22884</v>
      </c>
      <c r="K48" s="308">
        <v>20618</v>
      </c>
      <c r="L48" s="308">
        <v>18351</v>
      </c>
      <c r="M48" s="308">
        <v>16129</v>
      </c>
      <c r="N48" s="308">
        <v>13817</v>
      </c>
      <c r="O48" s="308">
        <v>11551</v>
      </c>
      <c r="P48" s="308">
        <v>9284</v>
      </c>
      <c r="Q48" s="308">
        <v>7037</v>
      </c>
      <c r="R48" s="308">
        <v>4751</v>
      </c>
      <c r="S48" s="308">
        <v>2484</v>
      </c>
      <c r="T48" s="323">
        <v>391</v>
      </c>
      <c r="U48" s="324"/>
      <c r="V48" s="311">
        <f t="shared" si="1"/>
        <v>207836</v>
      </c>
      <c r="X48" s="298"/>
    </row>
    <row r="49" spans="1:24" s="288" customFormat="1" ht="12.75" customHeight="1">
      <c r="A49" s="399">
        <v>22</v>
      </c>
      <c r="B49" s="299" t="s">
        <v>477</v>
      </c>
      <c r="C49" s="401" t="s">
        <v>513</v>
      </c>
      <c r="D49" s="407">
        <v>55090.75</v>
      </c>
      <c r="E49" s="300" t="s">
        <v>510</v>
      </c>
      <c r="F49" s="299" t="s">
        <v>474</v>
      </c>
      <c r="G49" s="301">
        <v>5959</v>
      </c>
      <c r="H49" s="301">
        <v>5959</v>
      </c>
      <c r="I49" s="301">
        <v>5959</v>
      </c>
      <c r="J49" s="301">
        <v>5959</v>
      </c>
      <c r="K49" s="301">
        <v>5959</v>
      </c>
      <c r="L49" s="301">
        <v>5959</v>
      </c>
      <c r="M49" s="301">
        <v>5959</v>
      </c>
      <c r="N49" s="301">
        <v>5959</v>
      </c>
      <c r="O49" s="301">
        <v>1459.75</v>
      </c>
      <c r="P49" s="301"/>
      <c r="Q49" s="301"/>
      <c r="R49" s="301"/>
      <c r="S49" s="301"/>
      <c r="T49" s="319"/>
      <c r="U49" s="319"/>
      <c r="V49" s="304">
        <f t="shared" si="1"/>
        <v>49131.75</v>
      </c>
      <c r="X49" s="298"/>
    </row>
    <row r="50" spans="1:24" s="288" customFormat="1" ht="12.75">
      <c r="A50" s="400"/>
      <c r="B50" s="305" t="s">
        <v>514</v>
      </c>
      <c r="C50" s="402"/>
      <c r="D50" s="408"/>
      <c r="E50" s="306" t="s">
        <v>512</v>
      </c>
      <c r="F50" s="307">
        <v>0.0077</v>
      </c>
      <c r="G50" s="308">
        <v>460</v>
      </c>
      <c r="H50" s="308">
        <v>428</v>
      </c>
      <c r="I50" s="308">
        <v>369</v>
      </c>
      <c r="J50" s="308">
        <v>308</v>
      </c>
      <c r="K50" s="308">
        <v>247</v>
      </c>
      <c r="L50" s="308">
        <v>187</v>
      </c>
      <c r="M50" s="308">
        <v>127</v>
      </c>
      <c r="N50" s="308">
        <v>66</v>
      </c>
      <c r="O50" s="308">
        <v>10</v>
      </c>
      <c r="P50" s="320"/>
      <c r="Q50" s="320"/>
      <c r="R50" s="320"/>
      <c r="S50" s="320"/>
      <c r="T50" s="324"/>
      <c r="U50" s="324"/>
      <c r="V50" s="311">
        <f t="shared" si="1"/>
        <v>2202</v>
      </c>
      <c r="X50" s="298"/>
    </row>
    <row r="51" spans="1:24" s="288" customFormat="1" ht="12.75" customHeight="1">
      <c r="A51" s="399">
        <v>23</v>
      </c>
      <c r="B51" s="299" t="s">
        <v>477</v>
      </c>
      <c r="C51" s="401" t="s">
        <v>515</v>
      </c>
      <c r="D51" s="407">
        <v>4539311.1</v>
      </c>
      <c r="E51" s="300" t="s">
        <v>510</v>
      </c>
      <c r="F51" s="299" t="s">
        <v>474</v>
      </c>
      <c r="G51" s="301">
        <v>1422.88</v>
      </c>
      <c r="H51" s="301">
        <v>342479.56</v>
      </c>
      <c r="I51" s="301">
        <v>342479.56</v>
      </c>
      <c r="J51" s="301">
        <v>342479.56</v>
      </c>
      <c r="K51" s="301">
        <v>379502.68</v>
      </c>
      <c r="L51" s="301">
        <v>379502.68</v>
      </c>
      <c r="M51" s="301">
        <v>379502.68</v>
      </c>
      <c r="N51" s="301">
        <v>379502.68</v>
      </c>
      <c r="O51" s="301">
        <v>379502.68</v>
      </c>
      <c r="P51" s="301">
        <v>379502.68</v>
      </c>
      <c r="Q51" s="301">
        <v>379502.68</v>
      </c>
      <c r="R51" s="301">
        <v>379502.68</v>
      </c>
      <c r="S51" s="301">
        <v>379502.68</v>
      </c>
      <c r="T51" s="319">
        <v>93502.54</v>
      </c>
      <c r="U51" s="319"/>
      <c r="V51" s="304">
        <f t="shared" si="1"/>
        <v>4537888.220000001</v>
      </c>
      <c r="X51" s="298"/>
    </row>
    <row r="52" spans="1:24" s="288" customFormat="1" ht="12.75">
      <c r="A52" s="400"/>
      <c r="B52" s="305" t="s">
        <v>516</v>
      </c>
      <c r="C52" s="402"/>
      <c r="D52" s="408"/>
      <c r="E52" s="306" t="s">
        <v>512</v>
      </c>
      <c r="F52" s="307">
        <v>0.0077</v>
      </c>
      <c r="G52" s="308">
        <v>43464</v>
      </c>
      <c r="H52" s="308">
        <v>45268</v>
      </c>
      <c r="I52" s="308">
        <v>42104</v>
      </c>
      <c r="J52" s="308">
        <v>38515</v>
      </c>
      <c r="K52" s="308">
        <v>34964</v>
      </c>
      <c r="L52" s="308">
        <v>31137</v>
      </c>
      <c r="M52" s="308">
        <v>27366</v>
      </c>
      <c r="N52" s="308">
        <v>23441</v>
      </c>
      <c r="O52" s="308">
        <v>19594</v>
      </c>
      <c r="P52" s="308">
        <v>15746</v>
      </c>
      <c r="Q52" s="308">
        <v>11932</v>
      </c>
      <c r="R52" s="308">
        <v>8051</v>
      </c>
      <c r="S52" s="308">
        <v>4203</v>
      </c>
      <c r="T52" s="323">
        <v>658</v>
      </c>
      <c r="U52" s="324"/>
      <c r="V52" s="311">
        <f t="shared" si="1"/>
        <v>346443</v>
      </c>
      <c r="X52" s="298"/>
    </row>
    <row r="53" spans="1:24" s="288" customFormat="1" ht="12.75" customHeight="1">
      <c r="A53" s="399">
        <v>24</v>
      </c>
      <c r="B53" s="299" t="s">
        <v>477</v>
      </c>
      <c r="C53" s="401" t="s">
        <v>675</v>
      </c>
      <c r="D53" s="407">
        <v>5020748.32</v>
      </c>
      <c r="E53" s="300" t="s">
        <v>510</v>
      </c>
      <c r="F53" s="299" t="s">
        <v>474</v>
      </c>
      <c r="G53" s="301">
        <v>1422.88</v>
      </c>
      <c r="H53" s="301">
        <v>378819.68</v>
      </c>
      <c r="I53" s="301">
        <v>378819.68</v>
      </c>
      <c r="J53" s="301">
        <v>378819.68</v>
      </c>
      <c r="K53" s="301">
        <v>419775.64</v>
      </c>
      <c r="L53" s="301">
        <v>419775.64</v>
      </c>
      <c r="M53" s="301">
        <v>419775.64</v>
      </c>
      <c r="N53" s="301">
        <v>419775.64</v>
      </c>
      <c r="O53" s="301">
        <v>419775.64</v>
      </c>
      <c r="P53" s="301">
        <v>419775.64</v>
      </c>
      <c r="Q53" s="301">
        <v>419775.64</v>
      </c>
      <c r="R53" s="301">
        <v>419775.64</v>
      </c>
      <c r="S53" s="301">
        <v>419775.64</v>
      </c>
      <c r="T53" s="319">
        <v>103462.76</v>
      </c>
      <c r="U53" s="319"/>
      <c r="V53" s="304">
        <f t="shared" si="1"/>
        <v>5019325.44</v>
      </c>
      <c r="X53" s="298"/>
    </row>
    <row r="54" spans="1:24" s="288" customFormat="1" ht="12.75">
      <c r="A54" s="400"/>
      <c r="B54" s="305" t="s">
        <v>517</v>
      </c>
      <c r="C54" s="402"/>
      <c r="D54" s="408"/>
      <c r="E54" s="306" t="s">
        <v>512</v>
      </c>
      <c r="F54" s="307">
        <v>0.0077</v>
      </c>
      <c r="G54" s="308">
        <v>48076</v>
      </c>
      <c r="H54" s="308">
        <v>50072</v>
      </c>
      <c r="I54" s="308">
        <v>46572</v>
      </c>
      <c r="J54" s="308">
        <v>42602</v>
      </c>
      <c r="K54" s="308">
        <v>38674</v>
      </c>
      <c r="L54" s="308">
        <v>34442</v>
      </c>
      <c r="M54" s="308">
        <v>30270</v>
      </c>
      <c r="N54" s="308">
        <v>25929</v>
      </c>
      <c r="O54" s="308">
        <v>21673</v>
      </c>
      <c r="P54" s="308">
        <v>17417</v>
      </c>
      <c r="Q54" s="308">
        <v>13199</v>
      </c>
      <c r="R54" s="308">
        <v>8905</v>
      </c>
      <c r="S54" s="308">
        <v>4649</v>
      </c>
      <c r="T54" s="323">
        <v>728</v>
      </c>
      <c r="U54" s="323"/>
      <c r="V54" s="311">
        <f t="shared" si="1"/>
        <v>383208</v>
      </c>
      <c r="X54" s="298"/>
    </row>
    <row r="55" spans="1:24" s="288" customFormat="1" ht="12.75" customHeight="1">
      <c r="A55" s="399">
        <v>25</v>
      </c>
      <c r="B55" s="299" t="s">
        <v>477</v>
      </c>
      <c r="C55" s="401" t="s">
        <v>676</v>
      </c>
      <c r="D55" s="407">
        <v>367297.28</v>
      </c>
      <c r="E55" s="300" t="s">
        <v>510</v>
      </c>
      <c r="F55" s="299" t="s">
        <v>474</v>
      </c>
      <c r="G55" s="301">
        <v>39709.52</v>
      </c>
      <c r="H55" s="301">
        <v>39709.52</v>
      </c>
      <c r="I55" s="301">
        <v>39709.52</v>
      </c>
      <c r="J55" s="301">
        <v>39709.52</v>
      </c>
      <c r="K55" s="301">
        <v>39709.52</v>
      </c>
      <c r="L55" s="301">
        <v>39709.52</v>
      </c>
      <c r="M55" s="301">
        <v>39709.52</v>
      </c>
      <c r="N55" s="301">
        <v>39709.52</v>
      </c>
      <c r="O55" s="301">
        <v>9911.6</v>
      </c>
      <c r="P55" s="301"/>
      <c r="Q55" s="301"/>
      <c r="R55" s="301"/>
      <c r="S55" s="301"/>
      <c r="T55" s="319"/>
      <c r="U55" s="319"/>
      <c r="V55" s="304">
        <f t="shared" si="1"/>
        <v>327587.75999999995</v>
      </c>
      <c r="X55" s="298"/>
    </row>
    <row r="56" spans="1:24" s="288" customFormat="1" ht="12.75">
      <c r="A56" s="400"/>
      <c r="B56" s="305" t="s">
        <v>518</v>
      </c>
      <c r="C56" s="402"/>
      <c r="D56" s="408"/>
      <c r="E56" s="306" t="s">
        <v>512</v>
      </c>
      <c r="F56" s="307">
        <v>0.0077</v>
      </c>
      <c r="G56" s="308">
        <v>3070</v>
      </c>
      <c r="H56" s="308">
        <v>2857</v>
      </c>
      <c r="I56" s="308">
        <v>2461</v>
      </c>
      <c r="J56" s="308">
        <v>2052</v>
      </c>
      <c r="K56" s="308">
        <v>1649</v>
      </c>
      <c r="L56" s="308">
        <v>1246</v>
      </c>
      <c r="M56" s="308">
        <v>846</v>
      </c>
      <c r="N56" s="308">
        <v>441</v>
      </c>
      <c r="O56" s="308">
        <v>69</v>
      </c>
      <c r="P56" s="308"/>
      <c r="Q56" s="320"/>
      <c r="R56" s="320"/>
      <c r="S56" s="320"/>
      <c r="T56" s="324"/>
      <c r="U56" s="324"/>
      <c r="V56" s="311">
        <f t="shared" si="1"/>
        <v>14691</v>
      </c>
      <c r="X56" s="298"/>
    </row>
    <row r="57" spans="1:24" s="288" customFormat="1" ht="12.75" customHeight="1">
      <c r="A57" s="399">
        <v>26</v>
      </c>
      <c r="B57" s="299" t="s">
        <v>477</v>
      </c>
      <c r="C57" s="401" t="s">
        <v>519</v>
      </c>
      <c r="D57" s="407">
        <v>238543.04</v>
      </c>
      <c r="E57" s="300" t="s">
        <v>520</v>
      </c>
      <c r="F57" s="299" t="s">
        <v>474</v>
      </c>
      <c r="G57" s="301">
        <v>25110.84</v>
      </c>
      <c r="H57" s="301">
        <v>25110.84</v>
      </c>
      <c r="I57" s="301">
        <v>25110.84</v>
      </c>
      <c r="J57" s="301">
        <v>25110.84</v>
      </c>
      <c r="K57" s="301">
        <v>25110.84</v>
      </c>
      <c r="L57" s="301">
        <v>25110.84</v>
      </c>
      <c r="M57" s="301">
        <v>25110.84</v>
      </c>
      <c r="N57" s="301">
        <v>25110.84</v>
      </c>
      <c r="O57" s="301">
        <v>12545.48</v>
      </c>
      <c r="P57" s="301"/>
      <c r="Q57" s="301"/>
      <c r="R57" s="301"/>
      <c r="S57" s="301"/>
      <c r="T57" s="319"/>
      <c r="U57" s="319"/>
      <c r="V57" s="304">
        <f t="shared" si="1"/>
        <v>213432.2</v>
      </c>
      <c r="X57" s="298"/>
    </row>
    <row r="58" spans="1:24" s="288" customFormat="1" ht="12.75">
      <c r="A58" s="400"/>
      <c r="B58" s="305" t="s">
        <v>521</v>
      </c>
      <c r="C58" s="402"/>
      <c r="D58" s="408"/>
      <c r="E58" s="306" t="s">
        <v>522</v>
      </c>
      <c r="F58" s="307">
        <v>0.0077</v>
      </c>
      <c r="G58" s="308">
        <v>2002</v>
      </c>
      <c r="H58" s="308">
        <v>1870</v>
      </c>
      <c r="I58" s="308">
        <v>1620</v>
      </c>
      <c r="J58" s="308">
        <v>1361</v>
      </c>
      <c r="K58" s="308">
        <v>1106</v>
      </c>
      <c r="L58" s="308">
        <v>852</v>
      </c>
      <c r="M58" s="308">
        <v>599</v>
      </c>
      <c r="N58" s="308">
        <v>343</v>
      </c>
      <c r="O58" s="308">
        <v>90</v>
      </c>
      <c r="P58" s="320"/>
      <c r="Q58" s="320"/>
      <c r="R58" s="320"/>
      <c r="S58" s="320"/>
      <c r="T58" s="324"/>
      <c r="U58" s="324"/>
      <c r="V58" s="311">
        <f t="shared" si="1"/>
        <v>9843</v>
      </c>
      <c r="X58" s="298"/>
    </row>
    <row r="59" spans="1:24" s="288" customFormat="1" ht="12.75" customHeight="1">
      <c r="A59" s="399">
        <v>27</v>
      </c>
      <c r="B59" s="299" t="s">
        <v>477</v>
      </c>
      <c r="C59" s="401" t="s">
        <v>523</v>
      </c>
      <c r="D59" s="407">
        <v>269491.92</v>
      </c>
      <c r="E59" s="300" t="s">
        <v>520</v>
      </c>
      <c r="F59" s="299" t="s">
        <v>474</v>
      </c>
      <c r="G59" s="301">
        <v>28372.08</v>
      </c>
      <c r="H59" s="301">
        <v>28372.08</v>
      </c>
      <c r="I59" s="301">
        <v>28372.08</v>
      </c>
      <c r="J59" s="301">
        <v>28372.08</v>
      </c>
      <c r="K59" s="301">
        <v>28372.08</v>
      </c>
      <c r="L59" s="301">
        <v>28372.08</v>
      </c>
      <c r="M59" s="301">
        <v>28372.08</v>
      </c>
      <c r="N59" s="301">
        <v>28372.08</v>
      </c>
      <c r="O59" s="301">
        <v>14143.2</v>
      </c>
      <c r="P59" s="301"/>
      <c r="Q59" s="301"/>
      <c r="R59" s="301"/>
      <c r="S59" s="301"/>
      <c r="T59" s="319"/>
      <c r="U59" s="319"/>
      <c r="V59" s="304">
        <f t="shared" si="1"/>
        <v>241119.84000000008</v>
      </c>
      <c r="X59" s="298"/>
    </row>
    <row r="60" spans="1:24" s="288" customFormat="1" ht="12.75">
      <c r="A60" s="400"/>
      <c r="B60" s="305" t="s">
        <v>524</v>
      </c>
      <c r="C60" s="402"/>
      <c r="D60" s="408"/>
      <c r="E60" s="306" t="s">
        <v>522</v>
      </c>
      <c r="F60" s="307">
        <v>0.0077</v>
      </c>
      <c r="G60" s="308">
        <v>2261</v>
      </c>
      <c r="H60" s="308">
        <v>2113</v>
      </c>
      <c r="I60" s="308">
        <v>1830</v>
      </c>
      <c r="J60" s="308">
        <v>1537</v>
      </c>
      <c r="K60" s="308">
        <v>1250</v>
      </c>
      <c r="L60" s="308">
        <v>962</v>
      </c>
      <c r="M60" s="308">
        <v>676</v>
      </c>
      <c r="N60" s="308">
        <v>387</v>
      </c>
      <c r="O60" s="308">
        <v>101</v>
      </c>
      <c r="P60" s="308"/>
      <c r="Q60" s="320"/>
      <c r="R60" s="320"/>
      <c r="S60" s="320"/>
      <c r="T60" s="324"/>
      <c r="U60" s="324"/>
      <c r="V60" s="311">
        <f t="shared" si="1"/>
        <v>11117</v>
      </c>
      <c r="X60" s="298"/>
    </row>
    <row r="61" spans="1:24" s="288" customFormat="1" ht="12.75" customHeight="1">
      <c r="A61" s="399">
        <v>28</v>
      </c>
      <c r="B61" s="299" t="s">
        <v>477</v>
      </c>
      <c r="C61" s="401" t="s">
        <v>525</v>
      </c>
      <c r="D61" s="407">
        <v>87193.58</v>
      </c>
      <c r="E61" s="300" t="s">
        <v>526</v>
      </c>
      <c r="F61" s="299" t="s">
        <v>474</v>
      </c>
      <c r="G61" s="301">
        <v>9180.36</v>
      </c>
      <c r="H61" s="301">
        <v>9180.36</v>
      </c>
      <c r="I61" s="301">
        <v>9180.36</v>
      </c>
      <c r="J61" s="301">
        <v>9180.36</v>
      </c>
      <c r="K61" s="301">
        <v>9180.36</v>
      </c>
      <c r="L61" s="301">
        <v>9180.36</v>
      </c>
      <c r="M61" s="301">
        <v>9180.36</v>
      </c>
      <c r="N61" s="301">
        <v>9180.36</v>
      </c>
      <c r="O61" s="301">
        <v>4570.34</v>
      </c>
      <c r="P61" s="301"/>
      <c r="Q61" s="301"/>
      <c r="R61" s="301"/>
      <c r="S61" s="301"/>
      <c r="T61" s="319"/>
      <c r="U61" s="319"/>
      <c r="V61" s="304">
        <f t="shared" si="1"/>
        <v>78013.22</v>
      </c>
      <c r="X61" s="298"/>
    </row>
    <row r="62" spans="1:24" s="288" customFormat="1" ht="12.75">
      <c r="A62" s="400"/>
      <c r="B62" s="305" t="s">
        <v>527</v>
      </c>
      <c r="C62" s="402"/>
      <c r="D62" s="408"/>
      <c r="E62" s="306" t="s">
        <v>522</v>
      </c>
      <c r="F62" s="307">
        <v>0.0077</v>
      </c>
      <c r="G62" s="308">
        <v>732</v>
      </c>
      <c r="H62" s="308">
        <v>684</v>
      </c>
      <c r="I62" s="308">
        <v>592</v>
      </c>
      <c r="J62" s="308">
        <v>497</v>
      </c>
      <c r="K62" s="308">
        <v>404</v>
      </c>
      <c r="L62" s="308">
        <v>311</v>
      </c>
      <c r="M62" s="308">
        <v>219</v>
      </c>
      <c r="N62" s="308">
        <v>125</v>
      </c>
      <c r="O62" s="308">
        <v>33</v>
      </c>
      <c r="P62" s="308"/>
      <c r="Q62" s="320"/>
      <c r="R62" s="320"/>
      <c r="S62" s="320"/>
      <c r="T62" s="324"/>
      <c r="U62" s="324"/>
      <c r="V62" s="311">
        <f t="shared" si="1"/>
        <v>3597</v>
      </c>
      <c r="X62" s="298"/>
    </row>
    <row r="63" spans="1:24" s="288" customFormat="1" ht="12.75" customHeight="1">
      <c r="A63" s="399">
        <v>29</v>
      </c>
      <c r="B63" s="299" t="s">
        <v>477</v>
      </c>
      <c r="C63" s="401" t="s">
        <v>677</v>
      </c>
      <c r="D63" s="407">
        <v>876419.31</v>
      </c>
      <c r="E63" s="300" t="s">
        <v>526</v>
      </c>
      <c r="F63" s="299" t="s">
        <v>474</v>
      </c>
      <c r="G63" s="301">
        <v>63636.52</v>
      </c>
      <c r="H63" s="301">
        <v>63636.52</v>
      </c>
      <c r="I63" s="301">
        <v>63636.52</v>
      </c>
      <c r="J63" s="301">
        <v>63636.52</v>
      </c>
      <c r="K63" s="301">
        <v>63636.52</v>
      </c>
      <c r="L63" s="301">
        <v>63636.52</v>
      </c>
      <c r="M63" s="301">
        <v>63636.52</v>
      </c>
      <c r="N63" s="301">
        <v>63636.52</v>
      </c>
      <c r="O63" s="301">
        <v>63636.52</v>
      </c>
      <c r="P63" s="301">
        <v>63636.52</v>
      </c>
      <c r="Q63" s="301">
        <v>63636.52</v>
      </c>
      <c r="R63" s="301">
        <v>63636.52</v>
      </c>
      <c r="S63" s="301">
        <v>63636.52</v>
      </c>
      <c r="T63" s="319">
        <v>47722</v>
      </c>
      <c r="U63" s="319"/>
      <c r="V63" s="304">
        <f t="shared" si="1"/>
        <v>874996.7600000001</v>
      </c>
      <c r="X63" s="298"/>
    </row>
    <row r="64" spans="1:24" s="288" customFormat="1" ht="12.75">
      <c r="A64" s="400"/>
      <c r="B64" s="305" t="s">
        <v>528</v>
      </c>
      <c r="C64" s="402"/>
      <c r="D64" s="408"/>
      <c r="E64" s="306" t="s">
        <v>529</v>
      </c>
      <c r="F64" s="307">
        <v>0.0077</v>
      </c>
      <c r="G64" s="308">
        <v>8247</v>
      </c>
      <c r="H64" s="308">
        <v>8127</v>
      </c>
      <c r="I64" s="308">
        <v>7502</v>
      </c>
      <c r="J64" s="308">
        <v>6836</v>
      </c>
      <c r="K64" s="308">
        <v>6191</v>
      </c>
      <c r="L64" s="308">
        <v>5546</v>
      </c>
      <c r="M64" s="308">
        <v>4915</v>
      </c>
      <c r="N64" s="308">
        <v>4256</v>
      </c>
      <c r="O64" s="308">
        <v>3610</v>
      </c>
      <c r="P64" s="308">
        <v>2956</v>
      </c>
      <c r="Q64" s="308">
        <v>2327</v>
      </c>
      <c r="R64" s="308">
        <v>1675</v>
      </c>
      <c r="S64" s="308">
        <v>1030</v>
      </c>
      <c r="T64" s="323">
        <v>384</v>
      </c>
      <c r="U64" s="323"/>
      <c r="V64" s="311">
        <f t="shared" si="1"/>
        <v>63602</v>
      </c>
      <c r="X64" s="298"/>
    </row>
    <row r="65" spans="1:24" s="325" customFormat="1" ht="12.75" customHeight="1">
      <c r="A65" s="399">
        <v>30</v>
      </c>
      <c r="B65" s="299" t="s">
        <v>477</v>
      </c>
      <c r="C65" s="401" t="s">
        <v>678</v>
      </c>
      <c r="D65" s="407">
        <v>215078.46</v>
      </c>
      <c r="E65" s="300" t="s">
        <v>530</v>
      </c>
      <c r="F65" s="299" t="s">
        <v>474</v>
      </c>
      <c r="G65" s="301">
        <v>20483.68</v>
      </c>
      <c r="H65" s="301">
        <v>20483.68</v>
      </c>
      <c r="I65" s="301">
        <v>20483.68</v>
      </c>
      <c r="J65" s="301">
        <v>20483.68</v>
      </c>
      <c r="K65" s="301">
        <v>20483.68</v>
      </c>
      <c r="L65" s="301">
        <v>20483.68</v>
      </c>
      <c r="M65" s="301">
        <v>20483.68</v>
      </c>
      <c r="N65" s="301">
        <v>20483.68</v>
      </c>
      <c r="O65" s="301">
        <v>20483.68</v>
      </c>
      <c r="P65" s="301">
        <v>10241.66</v>
      </c>
      <c r="Q65" s="301"/>
      <c r="R65" s="301"/>
      <c r="S65" s="301"/>
      <c r="T65" s="319"/>
      <c r="U65" s="319"/>
      <c r="V65" s="304">
        <f t="shared" si="1"/>
        <v>194594.77999999997</v>
      </c>
      <c r="X65" s="298"/>
    </row>
    <row r="66" spans="1:24" s="288" customFormat="1" ht="12.75">
      <c r="A66" s="400"/>
      <c r="B66" s="305" t="s">
        <v>531</v>
      </c>
      <c r="C66" s="415"/>
      <c r="D66" s="408"/>
      <c r="E66" s="306" t="s">
        <v>532</v>
      </c>
      <c r="F66" s="307">
        <v>0.0077</v>
      </c>
      <c r="G66" s="308">
        <v>1829</v>
      </c>
      <c r="H66" s="308">
        <v>1733</v>
      </c>
      <c r="I66" s="308">
        <v>1530</v>
      </c>
      <c r="J66" s="308">
        <v>1318</v>
      </c>
      <c r="K66" s="308">
        <v>1110</v>
      </c>
      <c r="L66" s="308">
        <v>903</v>
      </c>
      <c r="M66" s="308">
        <v>697</v>
      </c>
      <c r="N66" s="308">
        <v>487</v>
      </c>
      <c r="O66" s="308">
        <v>280</v>
      </c>
      <c r="P66" s="308">
        <v>73</v>
      </c>
      <c r="Q66" s="308"/>
      <c r="R66" s="320"/>
      <c r="S66" s="320"/>
      <c r="T66" s="324"/>
      <c r="U66" s="324"/>
      <c r="V66" s="311">
        <f t="shared" si="1"/>
        <v>9960</v>
      </c>
      <c r="X66" s="298"/>
    </row>
    <row r="67" spans="1:24" s="325" customFormat="1" ht="12.75" customHeight="1">
      <c r="A67" s="399">
        <v>31</v>
      </c>
      <c r="B67" s="299" t="s">
        <v>477</v>
      </c>
      <c r="C67" s="401" t="s">
        <v>533</v>
      </c>
      <c r="D67" s="407">
        <v>64700</v>
      </c>
      <c r="E67" s="300" t="s">
        <v>530</v>
      </c>
      <c r="F67" s="299" t="s">
        <v>474</v>
      </c>
      <c r="G67" s="301">
        <v>6420</v>
      </c>
      <c r="H67" s="301">
        <v>6420</v>
      </c>
      <c r="I67" s="301">
        <v>6420</v>
      </c>
      <c r="J67" s="301">
        <v>6420</v>
      </c>
      <c r="K67" s="301">
        <v>6420</v>
      </c>
      <c r="L67" s="301">
        <v>6420</v>
      </c>
      <c r="M67" s="301">
        <v>6420</v>
      </c>
      <c r="N67" s="301">
        <v>6420</v>
      </c>
      <c r="O67" s="301">
        <v>6420</v>
      </c>
      <c r="P67" s="301">
        <v>3200</v>
      </c>
      <c r="Q67" s="301"/>
      <c r="R67" s="301"/>
      <c r="S67" s="301"/>
      <c r="T67" s="319"/>
      <c r="U67" s="319"/>
      <c r="V67" s="304">
        <f t="shared" si="1"/>
        <v>60980</v>
      </c>
      <c r="X67" s="298"/>
    </row>
    <row r="68" spans="1:24" s="288" customFormat="1" ht="12.75">
      <c r="A68" s="400"/>
      <c r="B68" s="305" t="s">
        <v>534</v>
      </c>
      <c r="C68" s="402"/>
      <c r="D68" s="408"/>
      <c r="E68" s="306" t="s">
        <v>532</v>
      </c>
      <c r="F68" s="307">
        <v>0.0077</v>
      </c>
      <c r="G68" s="308">
        <v>573</v>
      </c>
      <c r="H68" s="308">
        <v>543</v>
      </c>
      <c r="I68" s="308">
        <v>479</v>
      </c>
      <c r="J68" s="308">
        <v>413</v>
      </c>
      <c r="K68" s="308">
        <v>348</v>
      </c>
      <c r="L68" s="308">
        <v>283</v>
      </c>
      <c r="M68" s="308">
        <v>218</v>
      </c>
      <c r="N68" s="308">
        <v>153</v>
      </c>
      <c r="O68" s="308">
        <v>88</v>
      </c>
      <c r="P68" s="308">
        <v>23</v>
      </c>
      <c r="Q68" s="320"/>
      <c r="R68" s="320"/>
      <c r="S68" s="320"/>
      <c r="T68" s="324"/>
      <c r="U68" s="324"/>
      <c r="V68" s="311">
        <f t="shared" si="1"/>
        <v>3121</v>
      </c>
      <c r="X68" s="298"/>
    </row>
    <row r="69" spans="1:24" s="325" customFormat="1" ht="12.75" customHeight="1">
      <c r="A69" s="399">
        <v>32</v>
      </c>
      <c r="B69" s="299" t="s">
        <v>477</v>
      </c>
      <c r="C69" s="401" t="s">
        <v>679</v>
      </c>
      <c r="D69" s="407">
        <v>241620.71</v>
      </c>
      <c r="E69" s="300" t="s">
        <v>535</v>
      </c>
      <c r="F69" s="299" t="s">
        <v>474</v>
      </c>
      <c r="G69" s="301">
        <v>23016.36</v>
      </c>
      <c r="H69" s="301">
        <v>23016.36</v>
      </c>
      <c r="I69" s="301">
        <v>23016.36</v>
      </c>
      <c r="J69" s="301">
        <v>23016.36</v>
      </c>
      <c r="K69" s="301">
        <v>23016.36</v>
      </c>
      <c r="L69" s="301">
        <v>23016.36</v>
      </c>
      <c r="M69" s="301">
        <v>23016.36</v>
      </c>
      <c r="N69" s="301">
        <v>23016.36</v>
      </c>
      <c r="O69" s="301">
        <v>23016.36</v>
      </c>
      <c r="P69" s="301">
        <v>11457.11</v>
      </c>
      <c r="Q69" s="301"/>
      <c r="R69" s="301"/>
      <c r="S69" s="301"/>
      <c r="T69" s="319"/>
      <c r="U69" s="319"/>
      <c r="V69" s="304">
        <f t="shared" si="1"/>
        <v>218604.34999999998</v>
      </c>
      <c r="X69" s="298"/>
    </row>
    <row r="70" spans="1:24" s="288" customFormat="1" ht="12.75">
      <c r="A70" s="400"/>
      <c r="B70" s="305" t="s">
        <v>536</v>
      </c>
      <c r="C70" s="402"/>
      <c r="D70" s="408"/>
      <c r="E70" s="306" t="s">
        <v>537</v>
      </c>
      <c r="F70" s="307">
        <v>0.0077</v>
      </c>
      <c r="G70" s="308">
        <v>2055</v>
      </c>
      <c r="H70" s="308">
        <v>1947</v>
      </c>
      <c r="I70" s="308">
        <v>1719</v>
      </c>
      <c r="J70" s="308">
        <v>1480</v>
      </c>
      <c r="K70" s="308">
        <v>1247</v>
      </c>
      <c r="L70" s="308">
        <v>1014</v>
      </c>
      <c r="M70" s="308">
        <v>783</v>
      </c>
      <c r="N70" s="308">
        <v>547</v>
      </c>
      <c r="O70" s="308">
        <v>314</v>
      </c>
      <c r="P70" s="308">
        <v>82</v>
      </c>
      <c r="Q70" s="308"/>
      <c r="R70" s="320"/>
      <c r="S70" s="320"/>
      <c r="T70" s="324"/>
      <c r="U70" s="324"/>
      <c r="V70" s="311">
        <f t="shared" si="1"/>
        <v>11188</v>
      </c>
      <c r="X70" s="298"/>
    </row>
    <row r="71" spans="1:24" s="325" customFormat="1" ht="12.75" customHeight="1">
      <c r="A71" s="399">
        <v>33</v>
      </c>
      <c r="B71" s="299" t="s">
        <v>477</v>
      </c>
      <c r="C71" s="401" t="s">
        <v>538</v>
      </c>
      <c r="D71" s="407">
        <v>993544.59</v>
      </c>
      <c r="E71" s="300" t="s">
        <v>539</v>
      </c>
      <c r="F71" s="299" t="s">
        <v>474</v>
      </c>
      <c r="G71" s="301">
        <v>67262</v>
      </c>
      <c r="H71" s="301">
        <v>67262</v>
      </c>
      <c r="I71" s="301">
        <v>67262</v>
      </c>
      <c r="J71" s="301">
        <v>67262</v>
      </c>
      <c r="K71" s="301">
        <v>67262</v>
      </c>
      <c r="L71" s="301">
        <v>67262</v>
      </c>
      <c r="M71" s="301">
        <v>67262</v>
      </c>
      <c r="N71" s="301">
        <v>67262</v>
      </c>
      <c r="O71" s="301">
        <v>67262</v>
      </c>
      <c r="P71" s="301">
        <v>67262</v>
      </c>
      <c r="Q71" s="301">
        <v>67262</v>
      </c>
      <c r="R71" s="301">
        <v>67262</v>
      </c>
      <c r="S71" s="301">
        <v>67262</v>
      </c>
      <c r="T71" s="301">
        <v>67262</v>
      </c>
      <c r="U71" s="319">
        <v>50453.71</v>
      </c>
      <c r="V71" s="304">
        <f aca="true" t="shared" si="2" ref="V71:V134">SUM(G71:U71)</f>
        <v>992121.71</v>
      </c>
      <c r="X71" s="298"/>
    </row>
    <row r="72" spans="1:24" s="288" customFormat="1" ht="12.75">
      <c r="A72" s="400"/>
      <c r="B72" s="305" t="s">
        <v>540</v>
      </c>
      <c r="C72" s="415"/>
      <c r="D72" s="408"/>
      <c r="E72" s="306" t="s">
        <v>541</v>
      </c>
      <c r="F72" s="307">
        <v>0.0077</v>
      </c>
      <c r="G72" s="308">
        <v>9361</v>
      </c>
      <c r="H72" s="308">
        <v>9272</v>
      </c>
      <c r="I72" s="308">
        <v>8614</v>
      </c>
      <c r="J72" s="308">
        <v>7908</v>
      </c>
      <c r="K72" s="308">
        <v>7226</v>
      </c>
      <c r="L72" s="308">
        <v>6544</v>
      </c>
      <c r="M72" s="308">
        <v>5878</v>
      </c>
      <c r="N72" s="308">
        <v>5180</v>
      </c>
      <c r="O72" s="308">
        <v>4498</v>
      </c>
      <c r="P72" s="308">
        <v>3816</v>
      </c>
      <c r="Q72" s="308">
        <v>3143</v>
      </c>
      <c r="R72" s="308">
        <v>2452</v>
      </c>
      <c r="S72" s="308">
        <v>1770</v>
      </c>
      <c r="T72" s="323">
        <v>1088</v>
      </c>
      <c r="U72" s="323">
        <v>408</v>
      </c>
      <c r="V72" s="311">
        <f t="shared" si="2"/>
        <v>77158</v>
      </c>
      <c r="X72" s="298"/>
    </row>
    <row r="73" spans="1:24" s="325" customFormat="1" ht="12.75" customHeight="1">
      <c r="A73" s="399">
        <v>34</v>
      </c>
      <c r="B73" s="299" t="s">
        <v>477</v>
      </c>
      <c r="C73" s="401" t="s">
        <v>542</v>
      </c>
      <c r="D73" s="407">
        <v>337718.84</v>
      </c>
      <c r="E73" s="300" t="s">
        <v>543</v>
      </c>
      <c r="F73" s="299" t="s">
        <v>474</v>
      </c>
      <c r="G73" s="301">
        <v>31417</v>
      </c>
      <c r="H73" s="301">
        <v>31417</v>
      </c>
      <c r="I73" s="301">
        <v>31417</v>
      </c>
      <c r="J73" s="301">
        <v>31417</v>
      </c>
      <c r="K73" s="301">
        <v>31417</v>
      </c>
      <c r="L73" s="301">
        <v>31417</v>
      </c>
      <c r="M73" s="301">
        <v>31417</v>
      </c>
      <c r="N73" s="301">
        <v>31417</v>
      </c>
      <c r="O73" s="301">
        <v>31417</v>
      </c>
      <c r="P73" s="301">
        <v>23548.84</v>
      </c>
      <c r="Q73" s="301"/>
      <c r="R73" s="301"/>
      <c r="S73" s="301"/>
      <c r="T73" s="319"/>
      <c r="U73" s="319"/>
      <c r="V73" s="304">
        <f t="shared" si="2"/>
        <v>306301.84</v>
      </c>
      <c r="X73" s="298"/>
    </row>
    <row r="74" spans="1:24" s="288" customFormat="1" ht="12.75">
      <c r="A74" s="400"/>
      <c r="B74" s="305" t="s">
        <v>544</v>
      </c>
      <c r="C74" s="402"/>
      <c r="D74" s="408"/>
      <c r="E74" s="306" t="s">
        <v>541</v>
      </c>
      <c r="F74" s="307">
        <v>0.0077</v>
      </c>
      <c r="G74" s="308">
        <v>2880</v>
      </c>
      <c r="H74" s="308">
        <v>2738</v>
      </c>
      <c r="I74" s="308">
        <v>2426</v>
      </c>
      <c r="J74" s="308">
        <v>2101</v>
      </c>
      <c r="K74" s="308">
        <v>1782</v>
      </c>
      <c r="L74" s="308">
        <v>1464</v>
      </c>
      <c r="M74" s="308">
        <v>1149</v>
      </c>
      <c r="N74" s="308">
        <v>827</v>
      </c>
      <c r="O74" s="308">
        <v>508</v>
      </c>
      <c r="P74" s="308">
        <v>190</v>
      </c>
      <c r="Q74" s="320"/>
      <c r="R74" s="320"/>
      <c r="S74" s="320"/>
      <c r="T74" s="324"/>
      <c r="U74" s="324"/>
      <c r="V74" s="311">
        <f t="shared" si="2"/>
        <v>16065</v>
      </c>
      <c r="X74" s="298"/>
    </row>
    <row r="75" spans="1:24" s="325" customFormat="1" ht="12.75" customHeight="1">
      <c r="A75" s="399">
        <v>35</v>
      </c>
      <c r="B75" s="299" t="s">
        <v>477</v>
      </c>
      <c r="C75" s="401" t="s">
        <v>545</v>
      </c>
      <c r="D75" s="407">
        <v>452006.32</v>
      </c>
      <c r="E75" s="300" t="s">
        <v>543</v>
      </c>
      <c r="F75" s="299" t="s">
        <v>474</v>
      </c>
      <c r="G75" s="301">
        <v>42048.72</v>
      </c>
      <c r="H75" s="301">
        <v>42048.72</v>
      </c>
      <c r="I75" s="301">
        <v>42048.72</v>
      </c>
      <c r="J75" s="301">
        <v>42048.72</v>
      </c>
      <c r="K75" s="301">
        <v>42048.72</v>
      </c>
      <c r="L75" s="301">
        <v>42048.72</v>
      </c>
      <c r="M75" s="301">
        <v>42048.72</v>
      </c>
      <c r="N75" s="301">
        <v>42048.72</v>
      </c>
      <c r="O75" s="301">
        <v>42048.72</v>
      </c>
      <c r="P75" s="301">
        <v>31519.12</v>
      </c>
      <c r="Q75" s="301"/>
      <c r="R75" s="301"/>
      <c r="S75" s="301"/>
      <c r="T75" s="319"/>
      <c r="U75" s="319"/>
      <c r="V75" s="304">
        <f t="shared" si="2"/>
        <v>409957.6</v>
      </c>
      <c r="X75" s="298"/>
    </row>
    <row r="76" spans="1:24" s="288" customFormat="1" ht="12.75">
      <c r="A76" s="400"/>
      <c r="B76" s="305" t="s">
        <v>546</v>
      </c>
      <c r="C76" s="402"/>
      <c r="D76" s="408"/>
      <c r="E76" s="306" t="s">
        <v>532</v>
      </c>
      <c r="F76" s="307">
        <v>0.0077</v>
      </c>
      <c r="G76" s="308">
        <v>3855</v>
      </c>
      <c r="H76" s="308">
        <v>3665</v>
      </c>
      <c r="I76" s="308">
        <v>3247</v>
      </c>
      <c r="J76" s="308">
        <v>2812</v>
      </c>
      <c r="K76" s="308">
        <v>2386</v>
      </c>
      <c r="L76" s="308">
        <v>1959</v>
      </c>
      <c r="M76" s="308">
        <v>1537</v>
      </c>
      <c r="N76" s="308">
        <v>1107</v>
      </c>
      <c r="O76" s="308">
        <v>680</v>
      </c>
      <c r="P76" s="308">
        <v>254</v>
      </c>
      <c r="Q76" s="308"/>
      <c r="R76" s="320"/>
      <c r="S76" s="320"/>
      <c r="T76" s="324"/>
      <c r="U76" s="324"/>
      <c r="V76" s="311">
        <f t="shared" si="2"/>
        <v>21502</v>
      </c>
      <c r="X76" s="298"/>
    </row>
    <row r="77" spans="1:24" s="325" customFormat="1" ht="12.75" customHeight="1">
      <c r="A77" s="399">
        <v>36</v>
      </c>
      <c r="B77" s="299" t="s">
        <v>477</v>
      </c>
      <c r="C77" s="401" t="s">
        <v>547</v>
      </c>
      <c r="D77" s="407">
        <v>403086.24</v>
      </c>
      <c r="E77" s="300" t="s">
        <v>548</v>
      </c>
      <c r="F77" s="299" t="s">
        <v>474</v>
      </c>
      <c r="G77" s="301">
        <v>38394.76</v>
      </c>
      <c r="H77" s="301">
        <v>38394.76</v>
      </c>
      <c r="I77" s="301">
        <v>38394.76</v>
      </c>
      <c r="J77" s="301">
        <v>38394.76</v>
      </c>
      <c r="K77" s="301">
        <v>38394.76</v>
      </c>
      <c r="L77" s="301">
        <v>38394.76</v>
      </c>
      <c r="M77" s="301">
        <v>38394.76</v>
      </c>
      <c r="N77" s="301">
        <v>38394.76</v>
      </c>
      <c r="O77" s="301">
        <v>38394.76</v>
      </c>
      <c r="P77" s="301">
        <v>19138.64</v>
      </c>
      <c r="Q77" s="301"/>
      <c r="R77" s="301"/>
      <c r="S77" s="301"/>
      <c r="T77" s="319"/>
      <c r="U77" s="319"/>
      <c r="V77" s="304">
        <f t="shared" si="2"/>
        <v>364691.48000000004</v>
      </c>
      <c r="X77" s="298"/>
    </row>
    <row r="78" spans="1:24" s="288" customFormat="1" ht="12.75">
      <c r="A78" s="400"/>
      <c r="B78" s="305" t="s">
        <v>549</v>
      </c>
      <c r="C78" s="402"/>
      <c r="D78" s="408"/>
      <c r="E78" s="306" t="s">
        <v>532</v>
      </c>
      <c r="F78" s="307">
        <v>0.0077</v>
      </c>
      <c r="G78" s="308">
        <v>3427.87</v>
      </c>
      <c r="H78" s="308">
        <v>3248</v>
      </c>
      <c r="I78" s="308">
        <v>2867</v>
      </c>
      <c r="J78" s="308">
        <v>2470</v>
      </c>
      <c r="K78" s="308">
        <v>2080</v>
      </c>
      <c r="L78" s="308">
        <v>1691</v>
      </c>
      <c r="M78" s="308">
        <v>1306</v>
      </c>
      <c r="N78" s="308">
        <v>913</v>
      </c>
      <c r="O78" s="308">
        <v>523</v>
      </c>
      <c r="P78" s="308">
        <v>137</v>
      </c>
      <c r="Q78" s="320"/>
      <c r="R78" s="320"/>
      <c r="S78" s="320"/>
      <c r="T78" s="324"/>
      <c r="U78" s="324"/>
      <c r="V78" s="311">
        <f t="shared" si="2"/>
        <v>18662.87</v>
      </c>
      <c r="X78" s="298"/>
    </row>
    <row r="79" spans="1:24" s="325" customFormat="1" ht="12.75" customHeight="1">
      <c r="A79" s="399">
        <v>37</v>
      </c>
      <c r="B79" s="299" t="s">
        <v>477</v>
      </c>
      <c r="C79" s="401" t="s">
        <v>550</v>
      </c>
      <c r="D79" s="407">
        <v>359487.14</v>
      </c>
      <c r="E79" s="300" t="s">
        <v>551</v>
      </c>
      <c r="F79" s="299" t="s">
        <v>474</v>
      </c>
      <c r="G79" s="301">
        <v>34240</v>
      </c>
      <c r="H79" s="301">
        <v>34240</v>
      </c>
      <c r="I79" s="301">
        <v>34240</v>
      </c>
      <c r="J79" s="301">
        <v>34240</v>
      </c>
      <c r="K79" s="301">
        <v>34240</v>
      </c>
      <c r="L79" s="301">
        <v>34240</v>
      </c>
      <c r="M79" s="301">
        <v>34240</v>
      </c>
      <c r="N79" s="301">
        <v>34240</v>
      </c>
      <c r="O79" s="301">
        <v>34240</v>
      </c>
      <c r="P79" s="301">
        <v>17087.17</v>
      </c>
      <c r="Q79" s="301"/>
      <c r="R79" s="301"/>
      <c r="S79" s="301"/>
      <c r="T79" s="319"/>
      <c r="U79" s="319"/>
      <c r="V79" s="304">
        <f t="shared" si="2"/>
        <v>325247.17</v>
      </c>
      <c r="X79" s="298"/>
    </row>
    <row r="80" spans="1:24" s="288" customFormat="1" ht="12.75">
      <c r="A80" s="400"/>
      <c r="B80" s="305" t="s">
        <v>552</v>
      </c>
      <c r="C80" s="402"/>
      <c r="D80" s="408"/>
      <c r="E80" s="306" t="s">
        <v>532</v>
      </c>
      <c r="F80" s="307">
        <v>0.0077</v>
      </c>
      <c r="G80" s="308">
        <v>3057</v>
      </c>
      <c r="H80" s="308">
        <v>2897</v>
      </c>
      <c r="I80" s="308">
        <v>2557</v>
      </c>
      <c r="J80" s="308">
        <v>2203</v>
      </c>
      <c r="K80" s="308">
        <v>1856</v>
      </c>
      <c r="L80" s="308">
        <v>1508</v>
      </c>
      <c r="M80" s="308">
        <v>1165</v>
      </c>
      <c r="N80" s="308">
        <v>814</v>
      </c>
      <c r="O80" s="308">
        <v>467</v>
      </c>
      <c r="P80" s="308">
        <v>122</v>
      </c>
      <c r="Q80" s="320"/>
      <c r="R80" s="320"/>
      <c r="S80" s="320"/>
      <c r="T80" s="324"/>
      <c r="U80" s="324"/>
      <c r="V80" s="311">
        <f t="shared" si="2"/>
        <v>16646</v>
      </c>
      <c r="X80" s="298"/>
    </row>
    <row r="81" spans="1:24" s="288" customFormat="1" ht="12.75" customHeight="1">
      <c r="A81" s="399">
        <v>38</v>
      </c>
      <c r="B81" s="299" t="s">
        <v>477</v>
      </c>
      <c r="C81" s="401" t="s">
        <v>679</v>
      </c>
      <c r="D81" s="407">
        <v>250209.16</v>
      </c>
      <c r="E81" s="300" t="s">
        <v>553</v>
      </c>
      <c r="F81" s="299" t="s">
        <v>474</v>
      </c>
      <c r="G81" s="301">
        <v>22242.32</v>
      </c>
      <c r="H81" s="301">
        <v>22242.32</v>
      </c>
      <c r="I81" s="301">
        <v>22242.32</v>
      </c>
      <c r="J81" s="301">
        <v>22242.32</v>
      </c>
      <c r="K81" s="301">
        <v>22242.32</v>
      </c>
      <c r="L81" s="301">
        <v>22242.32</v>
      </c>
      <c r="M81" s="301">
        <v>22242.32</v>
      </c>
      <c r="N81" s="301">
        <v>22242.32</v>
      </c>
      <c r="O81" s="301">
        <v>22242.32</v>
      </c>
      <c r="P81" s="301">
        <v>22242.32</v>
      </c>
      <c r="Q81" s="301">
        <v>5543.64</v>
      </c>
      <c r="R81" s="326"/>
      <c r="S81" s="326"/>
      <c r="T81" s="327"/>
      <c r="U81" s="327"/>
      <c r="V81" s="304">
        <f t="shared" si="2"/>
        <v>227966.84000000005</v>
      </c>
      <c r="X81" s="298"/>
    </row>
    <row r="82" spans="1:24" s="288" customFormat="1" ht="12.75">
      <c r="A82" s="400"/>
      <c r="B82" s="305" t="s">
        <v>554</v>
      </c>
      <c r="C82" s="402"/>
      <c r="D82" s="408"/>
      <c r="E82" s="306" t="s">
        <v>555</v>
      </c>
      <c r="F82" s="307">
        <v>0.00669</v>
      </c>
      <c r="G82" s="308">
        <v>2103</v>
      </c>
      <c r="H82" s="308">
        <v>2051</v>
      </c>
      <c r="I82" s="308">
        <v>1831</v>
      </c>
      <c r="J82" s="308">
        <v>1600</v>
      </c>
      <c r="K82" s="308">
        <v>1375</v>
      </c>
      <c r="L82" s="308">
        <v>1149</v>
      </c>
      <c r="M82" s="308">
        <v>926</v>
      </c>
      <c r="N82" s="308">
        <v>698</v>
      </c>
      <c r="O82" s="308">
        <v>472</v>
      </c>
      <c r="P82" s="308">
        <v>247</v>
      </c>
      <c r="Q82" s="308">
        <v>39</v>
      </c>
      <c r="R82" s="320"/>
      <c r="S82" s="320"/>
      <c r="T82" s="324"/>
      <c r="U82" s="324"/>
      <c r="V82" s="311">
        <f t="shared" si="2"/>
        <v>12491</v>
      </c>
      <c r="X82" s="298"/>
    </row>
    <row r="83" spans="1:24" s="288" customFormat="1" ht="12.75" customHeight="1">
      <c r="A83" s="399">
        <v>39</v>
      </c>
      <c r="B83" s="299" t="s">
        <v>477</v>
      </c>
      <c r="C83" s="401" t="s">
        <v>678</v>
      </c>
      <c r="D83" s="407">
        <v>76266.03</v>
      </c>
      <c r="E83" s="300" t="s">
        <v>553</v>
      </c>
      <c r="F83" s="299" t="s">
        <v>474</v>
      </c>
      <c r="G83" s="301">
        <v>6784.24</v>
      </c>
      <c r="H83" s="301">
        <v>6784.24</v>
      </c>
      <c r="I83" s="301">
        <v>6784.24</v>
      </c>
      <c r="J83" s="301">
        <v>6784.24</v>
      </c>
      <c r="K83" s="301">
        <v>6784.24</v>
      </c>
      <c r="L83" s="301">
        <v>6784.24</v>
      </c>
      <c r="M83" s="301">
        <v>6784.24</v>
      </c>
      <c r="N83" s="301">
        <v>6784.24</v>
      </c>
      <c r="O83" s="301">
        <v>6784.24</v>
      </c>
      <c r="P83" s="301">
        <v>6784.24</v>
      </c>
      <c r="Q83" s="301">
        <v>1639.39</v>
      </c>
      <c r="R83" s="326"/>
      <c r="S83" s="326"/>
      <c r="T83" s="327"/>
      <c r="U83" s="327"/>
      <c r="V83" s="304">
        <f t="shared" si="2"/>
        <v>69481.79</v>
      </c>
      <c r="X83" s="298"/>
    </row>
    <row r="84" spans="1:24" s="288" customFormat="1" ht="12.75">
      <c r="A84" s="400"/>
      <c r="B84" s="305" t="s">
        <v>556</v>
      </c>
      <c r="C84" s="402"/>
      <c r="D84" s="408"/>
      <c r="E84" s="306" t="s">
        <v>555</v>
      </c>
      <c r="F84" s="307">
        <v>0.00669</v>
      </c>
      <c r="G84" s="308">
        <v>641</v>
      </c>
      <c r="H84" s="308">
        <v>625</v>
      </c>
      <c r="I84" s="308">
        <v>558</v>
      </c>
      <c r="J84" s="308">
        <v>488</v>
      </c>
      <c r="K84" s="308">
        <v>419</v>
      </c>
      <c r="L84" s="308">
        <v>350</v>
      </c>
      <c r="M84" s="308">
        <v>282</v>
      </c>
      <c r="N84" s="308">
        <v>212</v>
      </c>
      <c r="O84" s="308">
        <v>144</v>
      </c>
      <c r="P84" s="308">
        <v>75</v>
      </c>
      <c r="Q84" s="308">
        <v>12</v>
      </c>
      <c r="R84" s="320"/>
      <c r="S84" s="320"/>
      <c r="T84" s="324"/>
      <c r="U84" s="324"/>
      <c r="V84" s="311">
        <f t="shared" si="2"/>
        <v>3806</v>
      </c>
      <c r="X84" s="298"/>
    </row>
    <row r="85" spans="1:24" s="288" customFormat="1" ht="12.75" customHeight="1">
      <c r="A85" s="399">
        <v>40</v>
      </c>
      <c r="B85" s="299" t="s">
        <v>477</v>
      </c>
      <c r="C85" s="401" t="s">
        <v>680</v>
      </c>
      <c r="D85" s="407">
        <v>158629.16</v>
      </c>
      <c r="E85" s="300" t="s">
        <v>557</v>
      </c>
      <c r="F85" s="299" t="s">
        <v>474</v>
      </c>
      <c r="G85" s="301">
        <v>14103.52</v>
      </c>
      <c r="H85" s="301">
        <v>14103.52</v>
      </c>
      <c r="I85" s="301">
        <v>14103.52</v>
      </c>
      <c r="J85" s="301">
        <v>14103.52</v>
      </c>
      <c r="K85" s="301">
        <v>14103.52</v>
      </c>
      <c r="L85" s="301">
        <v>14103.52</v>
      </c>
      <c r="M85" s="301">
        <v>14103.52</v>
      </c>
      <c r="N85" s="301">
        <v>14103.52</v>
      </c>
      <c r="O85" s="301">
        <v>14103.52</v>
      </c>
      <c r="P85" s="301">
        <v>14103.52</v>
      </c>
      <c r="Q85" s="301">
        <v>3490.44</v>
      </c>
      <c r="R85" s="326"/>
      <c r="S85" s="326"/>
      <c r="T85" s="327"/>
      <c r="U85" s="327"/>
      <c r="V85" s="304">
        <f t="shared" si="2"/>
        <v>144525.64</v>
      </c>
      <c r="X85" s="298"/>
    </row>
    <row r="86" spans="1:24" s="288" customFormat="1" ht="12.75">
      <c r="A86" s="400"/>
      <c r="B86" s="305" t="s">
        <v>558</v>
      </c>
      <c r="C86" s="402"/>
      <c r="D86" s="408"/>
      <c r="E86" s="306" t="s">
        <v>555</v>
      </c>
      <c r="F86" s="307">
        <v>0.00548</v>
      </c>
      <c r="G86" s="308">
        <v>1246</v>
      </c>
      <c r="H86" s="308">
        <v>1300</v>
      </c>
      <c r="I86" s="308">
        <v>1161</v>
      </c>
      <c r="J86" s="308">
        <v>1014</v>
      </c>
      <c r="K86" s="308">
        <v>871</v>
      </c>
      <c r="L86" s="308">
        <v>728</v>
      </c>
      <c r="M86" s="308">
        <v>587</v>
      </c>
      <c r="N86" s="308">
        <v>442</v>
      </c>
      <c r="O86" s="308">
        <v>299</v>
      </c>
      <c r="P86" s="308">
        <v>156</v>
      </c>
      <c r="Q86" s="308">
        <v>25</v>
      </c>
      <c r="R86" s="320"/>
      <c r="S86" s="320"/>
      <c r="T86" s="324"/>
      <c r="U86" s="324"/>
      <c r="V86" s="311">
        <f t="shared" si="2"/>
        <v>7829</v>
      </c>
      <c r="X86" s="298"/>
    </row>
    <row r="87" spans="1:24" s="288" customFormat="1" ht="12.75" customHeight="1">
      <c r="A87" s="399">
        <v>41</v>
      </c>
      <c r="B87" s="299" t="s">
        <v>477</v>
      </c>
      <c r="C87" s="401" t="s">
        <v>681</v>
      </c>
      <c r="D87" s="407">
        <v>107926.42</v>
      </c>
      <c r="E87" s="300" t="s">
        <v>559</v>
      </c>
      <c r="F87" s="299" t="s">
        <v>474</v>
      </c>
      <c r="G87" s="301">
        <v>9595.84</v>
      </c>
      <c r="H87" s="301">
        <v>9595.84</v>
      </c>
      <c r="I87" s="301">
        <v>9595.84</v>
      </c>
      <c r="J87" s="301">
        <v>9595.84</v>
      </c>
      <c r="K87" s="301">
        <v>9595.84</v>
      </c>
      <c r="L87" s="301">
        <v>9595.84</v>
      </c>
      <c r="M87" s="301">
        <v>9595.84</v>
      </c>
      <c r="N87" s="301">
        <v>9595.84</v>
      </c>
      <c r="O87" s="301">
        <v>9595.84</v>
      </c>
      <c r="P87" s="301">
        <v>9595.84</v>
      </c>
      <c r="Q87" s="301">
        <v>2372.18</v>
      </c>
      <c r="R87" s="326"/>
      <c r="S87" s="326"/>
      <c r="T87" s="327"/>
      <c r="U87" s="327"/>
      <c r="V87" s="304">
        <f t="shared" si="2"/>
        <v>98330.57999999997</v>
      </c>
      <c r="X87" s="298"/>
    </row>
    <row r="88" spans="1:24" s="288" customFormat="1" ht="12.75">
      <c r="A88" s="400"/>
      <c r="B88" s="305" t="s">
        <v>560</v>
      </c>
      <c r="C88" s="402"/>
      <c r="D88" s="408"/>
      <c r="E88" s="306" t="s">
        <v>555</v>
      </c>
      <c r="F88" s="307">
        <v>0.00548</v>
      </c>
      <c r="G88" s="308">
        <v>848</v>
      </c>
      <c r="H88" s="308">
        <v>885</v>
      </c>
      <c r="I88" s="308">
        <v>790</v>
      </c>
      <c r="J88" s="308">
        <v>690</v>
      </c>
      <c r="K88" s="308">
        <v>593</v>
      </c>
      <c r="L88" s="308">
        <v>496</v>
      </c>
      <c r="M88" s="308">
        <v>399</v>
      </c>
      <c r="N88" s="308">
        <v>301</v>
      </c>
      <c r="O88" s="308">
        <v>204</v>
      </c>
      <c r="P88" s="308">
        <v>106</v>
      </c>
      <c r="Q88" s="308">
        <v>17</v>
      </c>
      <c r="R88" s="320"/>
      <c r="S88" s="320"/>
      <c r="T88" s="324"/>
      <c r="U88" s="324"/>
      <c r="V88" s="311">
        <f t="shared" si="2"/>
        <v>5329</v>
      </c>
      <c r="X88" s="298"/>
    </row>
    <row r="89" spans="1:24" s="288" customFormat="1" ht="12.75" customHeight="1">
      <c r="A89" s="399">
        <v>42</v>
      </c>
      <c r="B89" s="299" t="s">
        <v>477</v>
      </c>
      <c r="C89" s="401" t="s">
        <v>561</v>
      </c>
      <c r="D89" s="407">
        <v>296887.89</v>
      </c>
      <c r="E89" s="316" t="s">
        <v>562</v>
      </c>
      <c r="F89" s="299" t="s">
        <v>474</v>
      </c>
      <c r="G89" s="301">
        <v>26391.44</v>
      </c>
      <c r="H89" s="301">
        <v>26391.44</v>
      </c>
      <c r="I89" s="301">
        <v>26391.44</v>
      </c>
      <c r="J89" s="301">
        <v>26391.44</v>
      </c>
      <c r="K89" s="301">
        <v>26391.44</v>
      </c>
      <c r="L89" s="301">
        <v>26391.44</v>
      </c>
      <c r="M89" s="301">
        <v>26391.44</v>
      </c>
      <c r="N89" s="301">
        <v>26391.44</v>
      </c>
      <c r="O89" s="301">
        <v>26391.44</v>
      </c>
      <c r="P89" s="301">
        <v>26391.44</v>
      </c>
      <c r="Q89" s="301">
        <v>6582.05</v>
      </c>
      <c r="R89" s="326"/>
      <c r="S89" s="326"/>
      <c r="T89" s="327"/>
      <c r="U89" s="327"/>
      <c r="V89" s="304">
        <f t="shared" si="2"/>
        <v>270496.44999999995</v>
      </c>
      <c r="X89" s="298"/>
    </row>
    <row r="90" spans="1:24" s="288" customFormat="1" ht="12.75">
      <c r="A90" s="400"/>
      <c r="B90" s="305" t="s">
        <v>563</v>
      </c>
      <c r="C90" s="402"/>
      <c r="D90" s="408"/>
      <c r="E90" s="317">
        <v>45371</v>
      </c>
      <c r="F90" s="307">
        <v>0.00548</v>
      </c>
      <c r="G90" s="308">
        <v>2232</v>
      </c>
      <c r="H90" s="308">
        <v>2434</v>
      </c>
      <c r="I90" s="308">
        <v>2172</v>
      </c>
      <c r="J90" s="308">
        <v>1899</v>
      </c>
      <c r="K90" s="308">
        <v>1631</v>
      </c>
      <c r="L90" s="308">
        <v>1363</v>
      </c>
      <c r="M90" s="308">
        <v>1099</v>
      </c>
      <c r="N90" s="308">
        <v>828</v>
      </c>
      <c r="O90" s="308">
        <v>561</v>
      </c>
      <c r="P90" s="308">
        <v>239</v>
      </c>
      <c r="Q90" s="308">
        <v>46</v>
      </c>
      <c r="R90" s="320"/>
      <c r="S90" s="320"/>
      <c r="T90" s="324"/>
      <c r="U90" s="324"/>
      <c r="V90" s="311">
        <f t="shared" si="2"/>
        <v>14504</v>
      </c>
      <c r="X90" s="298"/>
    </row>
    <row r="91" spans="1:24" s="288" customFormat="1" ht="12.75" customHeight="1">
      <c r="A91" s="399">
        <v>43</v>
      </c>
      <c r="B91" s="299" t="s">
        <v>477</v>
      </c>
      <c r="C91" s="401" t="s">
        <v>547</v>
      </c>
      <c r="D91" s="407">
        <v>369101.98</v>
      </c>
      <c r="E91" s="316" t="s">
        <v>564</v>
      </c>
      <c r="F91" s="299" t="s">
        <v>474</v>
      </c>
      <c r="G91" s="301">
        <v>32811.44</v>
      </c>
      <c r="H91" s="301">
        <v>32811.44</v>
      </c>
      <c r="I91" s="301">
        <v>32811.44</v>
      </c>
      <c r="J91" s="301">
        <v>32811.44</v>
      </c>
      <c r="K91" s="301">
        <v>32811.44</v>
      </c>
      <c r="L91" s="301">
        <v>32811.44</v>
      </c>
      <c r="M91" s="301">
        <v>32811.44</v>
      </c>
      <c r="N91" s="301">
        <v>32811.44</v>
      </c>
      <c r="O91" s="301">
        <v>32811.44</v>
      </c>
      <c r="P91" s="301">
        <v>32811.44</v>
      </c>
      <c r="Q91" s="301">
        <v>8176.14</v>
      </c>
      <c r="R91" s="326"/>
      <c r="S91" s="326"/>
      <c r="T91" s="327"/>
      <c r="U91" s="327"/>
      <c r="V91" s="304">
        <f t="shared" si="2"/>
        <v>336290.54000000004</v>
      </c>
      <c r="X91" s="298"/>
    </row>
    <row r="92" spans="1:24" s="288" customFormat="1" ht="12.75">
      <c r="A92" s="400"/>
      <c r="B92" s="305" t="s">
        <v>565</v>
      </c>
      <c r="C92" s="402"/>
      <c r="D92" s="408"/>
      <c r="E92" s="317">
        <v>45371</v>
      </c>
      <c r="F92" s="307">
        <v>0.00548</v>
      </c>
      <c r="G92" s="308">
        <v>2899</v>
      </c>
      <c r="H92" s="308">
        <v>3026</v>
      </c>
      <c r="I92" s="308">
        <v>2701</v>
      </c>
      <c r="J92" s="308">
        <v>2360</v>
      </c>
      <c r="K92" s="308">
        <v>2028</v>
      </c>
      <c r="L92" s="308">
        <v>1695</v>
      </c>
      <c r="M92" s="308">
        <v>1366</v>
      </c>
      <c r="N92" s="308">
        <v>1030</v>
      </c>
      <c r="O92" s="308">
        <v>697</v>
      </c>
      <c r="P92" s="308">
        <v>364</v>
      </c>
      <c r="Q92" s="308">
        <v>58</v>
      </c>
      <c r="R92" s="320"/>
      <c r="S92" s="320"/>
      <c r="T92" s="324"/>
      <c r="U92" s="324"/>
      <c r="V92" s="311">
        <f t="shared" si="2"/>
        <v>18224</v>
      </c>
      <c r="X92" s="298"/>
    </row>
    <row r="93" spans="1:24" s="288" customFormat="1" ht="12.75" customHeight="1">
      <c r="A93" s="399">
        <v>44</v>
      </c>
      <c r="B93" s="299" t="s">
        <v>477</v>
      </c>
      <c r="C93" s="401" t="s">
        <v>566</v>
      </c>
      <c r="D93" s="407">
        <v>560799.54</v>
      </c>
      <c r="E93" s="316" t="s">
        <v>564</v>
      </c>
      <c r="F93" s="299" t="s">
        <v>474</v>
      </c>
      <c r="G93" s="301">
        <v>49851.72</v>
      </c>
      <c r="H93" s="301">
        <v>49851.72</v>
      </c>
      <c r="I93" s="301">
        <v>49851.72</v>
      </c>
      <c r="J93" s="301">
        <v>49851.72</v>
      </c>
      <c r="K93" s="301">
        <v>49851.72</v>
      </c>
      <c r="L93" s="301">
        <v>49851.72</v>
      </c>
      <c r="M93" s="301">
        <v>49851.72</v>
      </c>
      <c r="N93" s="301">
        <v>49851.72</v>
      </c>
      <c r="O93" s="301">
        <v>49851.72</v>
      </c>
      <c r="P93" s="301">
        <v>49851.72</v>
      </c>
      <c r="Q93" s="301">
        <v>12430.62</v>
      </c>
      <c r="R93" s="326"/>
      <c r="S93" s="326"/>
      <c r="T93" s="327"/>
      <c r="U93" s="327"/>
      <c r="V93" s="304">
        <f t="shared" si="2"/>
        <v>510947.81999999995</v>
      </c>
      <c r="X93" s="298"/>
    </row>
    <row r="94" spans="1:24" s="288" customFormat="1" ht="12.75">
      <c r="A94" s="400"/>
      <c r="B94" s="305" t="s">
        <v>567</v>
      </c>
      <c r="C94" s="402"/>
      <c r="D94" s="408"/>
      <c r="E94" s="317">
        <v>45371</v>
      </c>
      <c r="F94" s="307">
        <v>0.00548</v>
      </c>
      <c r="G94" s="308">
        <v>4404</v>
      </c>
      <c r="H94" s="308">
        <v>4597</v>
      </c>
      <c r="I94" s="308">
        <v>4103</v>
      </c>
      <c r="J94" s="308">
        <v>3586</v>
      </c>
      <c r="K94" s="308">
        <v>3081</v>
      </c>
      <c r="L94" s="308">
        <v>2575</v>
      </c>
      <c r="M94" s="308">
        <v>2076</v>
      </c>
      <c r="N94" s="308">
        <v>1564</v>
      </c>
      <c r="O94" s="308">
        <v>1059</v>
      </c>
      <c r="P94" s="308">
        <v>554</v>
      </c>
      <c r="Q94" s="308">
        <v>87</v>
      </c>
      <c r="R94" s="320"/>
      <c r="S94" s="320"/>
      <c r="T94" s="324"/>
      <c r="U94" s="324"/>
      <c r="V94" s="311">
        <f t="shared" si="2"/>
        <v>27686</v>
      </c>
      <c r="X94" s="298"/>
    </row>
    <row r="95" spans="1:24" s="288" customFormat="1" ht="12.75" customHeight="1">
      <c r="A95" s="399">
        <v>45</v>
      </c>
      <c r="B95" s="299" t="s">
        <v>477</v>
      </c>
      <c r="C95" s="401" t="s">
        <v>568</v>
      </c>
      <c r="D95" s="407">
        <v>33093.08</v>
      </c>
      <c r="E95" s="300" t="s">
        <v>569</v>
      </c>
      <c r="F95" s="299" t="s">
        <v>474</v>
      </c>
      <c r="G95" s="301">
        <v>3153.08</v>
      </c>
      <c r="H95" s="301">
        <v>3153.08</v>
      </c>
      <c r="I95" s="301">
        <v>3153.08</v>
      </c>
      <c r="J95" s="301">
        <v>3153.08</v>
      </c>
      <c r="K95" s="301">
        <v>3153.08</v>
      </c>
      <c r="L95" s="301">
        <v>3153.08</v>
      </c>
      <c r="M95" s="301">
        <v>3153.08</v>
      </c>
      <c r="N95" s="301">
        <v>3153.08</v>
      </c>
      <c r="O95" s="301">
        <v>3153.08</v>
      </c>
      <c r="P95" s="301">
        <v>3153.08</v>
      </c>
      <c r="Q95" s="301">
        <v>1562.28</v>
      </c>
      <c r="R95" s="326"/>
      <c r="S95" s="326"/>
      <c r="T95" s="327"/>
      <c r="U95" s="327"/>
      <c r="V95" s="304">
        <f t="shared" si="2"/>
        <v>33093.08</v>
      </c>
      <c r="X95" s="298"/>
    </row>
    <row r="96" spans="1:24" s="288" customFormat="1" ht="12.75">
      <c r="A96" s="400"/>
      <c r="B96" s="305" t="s">
        <v>570</v>
      </c>
      <c r="C96" s="402"/>
      <c r="D96" s="408"/>
      <c r="E96" s="306" t="s">
        <v>571</v>
      </c>
      <c r="F96" s="307">
        <v>0.0115</v>
      </c>
      <c r="G96" s="308">
        <v>329</v>
      </c>
      <c r="H96" s="308">
        <v>299</v>
      </c>
      <c r="I96" s="308">
        <v>267</v>
      </c>
      <c r="J96" s="308">
        <v>235</v>
      </c>
      <c r="K96" s="308">
        <v>203</v>
      </c>
      <c r="L96" s="308">
        <v>171</v>
      </c>
      <c r="M96" s="308">
        <v>129</v>
      </c>
      <c r="N96" s="308">
        <v>107</v>
      </c>
      <c r="O96" s="308">
        <v>75</v>
      </c>
      <c r="P96" s="308">
        <v>43</v>
      </c>
      <c r="Q96" s="308">
        <v>11</v>
      </c>
      <c r="R96" s="320"/>
      <c r="S96" s="320"/>
      <c r="T96" s="324"/>
      <c r="U96" s="324"/>
      <c r="V96" s="311">
        <f t="shared" si="2"/>
        <v>1869</v>
      </c>
      <c r="X96" s="298"/>
    </row>
    <row r="97" spans="1:24" s="288" customFormat="1" ht="12.75" customHeight="1">
      <c r="A97" s="399">
        <v>46</v>
      </c>
      <c r="B97" s="299" t="s">
        <v>477</v>
      </c>
      <c r="C97" s="401" t="s">
        <v>572</v>
      </c>
      <c r="D97" s="407">
        <v>313031.8</v>
      </c>
      <c r="E97" s="300" t="s">
        <v>569</v>
      </c>
      <c r="F97" s="328" t="s">
        <v>474</v>
      </c>
      <c r="G97" s="301">
        <v>27825.68</v>
      </c>
      <c r="H97" s="301">
        <v>27825.68</v>
      </c>
      <c r="I97" s="301">
        <v>27825.68</v>
      </c>
      <c r="J97" s="301">
        <v>27825.68</v>
      </c>
      <c r="K97" s="301">
        <v>27825.68</v>
      </c>
      <c r="L97" s="301">
        <v>27825.68</v>
      </c>
      <c r="M97" s="301">
        <v>27825.68</v>
      </c>
      <c r="N97" s="301">
        <v>27825.68</v>
      </c>
      <c r="O97" s="301">
        <v>27825.68</v>
      </c>
      <c r="P97" s="301">
        <v>27825.68</v>
      </c>
      <c r="Q97" s="326">
        <v>20862.16</v>
      </c>
      <c r="R97" s="326"/>
      <c r="S97" s="326"/>
      <c r="T97" s="327"/>
      <c r="U97" s="327"/>
      <c r="V97" s="304">
        <f t="shared" si="2"/>
        <v>299118.95999999996</v>
      </c>
      <c r="X97" s="298"/>
    </row>
    <row r="98" spans="1:24" s="288" customFormat="1" ht="12.75">
      <c r="A98" s="400"/>
      <c r="B98" s="305" t="s">
        <v>573</v>
      </c>
      <c r="C98" s="402"/>
      <c r="D98" s="408"/>
      <c r="E98" s="306" t="s">
        <v>574</v>
      </c>
      <c r="F98" s="307">
        <v>0.0077</v>
      </c>
      <c r="G98" s="308">
        <v>2710</v>
      </c>
      <c r="H98" s="308">
        <v>2707</v>
      </c>
      <c r="I98" s="308">
        <v>2432</v>
      </c>
      <c r="J98" s="308">
        <v>2143</v>
      </c>
      <c r="K98" s="308">
        <v>1861</v>
      </c>
      <c r="L98" s="308">
        <v>1579</v>
      </c>
      <c r="M98" s="308">
        <v>1300</v>
      </c>
      <c r="N98" s="308">
        <v>1014</v>
      </c>
      <c r="O98" s="308">
        <v>732</v>
      </c>
      <c r="P98" s="308">
        <v>450</v>
      </c>
      <c r="Q98" s="308">
        <v>169</v>
      </c>
      <c r="R98" s="320"/>
      <c r="S98" s="320"/>
      <c r="T98" s="324"/>
      <c r="U98" s="324"/>
      <c r="V98" s="311">
        <f t="shared" si="2"/>
        <v>17097</v>
      </c>
      <c r="X98" s="298"/>
    </row>
    <row r="99" spans="1:24" s="288" customFormat="1" ht="12.75">
      <c r="A99" s="399">
        <v>47</v>
      </c>
      <c r="B99" s="299" t="s">
        <v>477</v>
      </c>
      <c r="C99" s="401" t="s">
        <v>566</v>
      </c>
      <c r="D99" s="407">
        <v>3304011.86</v>
      </c>
      <c r="E99" s="300" t="s">
        <v>575</v>
      </c>
      <c r="F99" s="328" t="s">
        <v>474</v>
      </c>
      <c r="G99" s="301">
        <v>209685.76</v>
      </c>
      <c r="H99" s="301">
        <v>209685.76</v>
      </c>
      <c r="I99" s="301">
        <v>209685.76</v>
      </c>
      <c r="J99" s="301">
        <v>209685.76</v>
      </c>
      <c r="K99" s="301">
        <v>209685.76</v>
      </c>
      <c r="L99" s="301">
        <v>209685.76</v>
      </c>
      <c r="M99" s="301">
        <v>209685.76</v>
      </c>
      <c r="N99" s="301">
        <v>209685.76</v>
      </c>
      <c r="O99" s="301">
        <v>209685.76</v>
      </c>
      <c r="P99" s="301">
        <v>209685.76</v>
      </c>
      <c r="Q99" s="301">
        <v>209685.76</v>
      </c>
      <c r="R99" s="301">
        <v>209685.76</v>
      </c>
      <c r="S99" s="301">
        <v>209685.76</v>
      </c>
      <c r="T99" s="301">
        <v>209685.76</v>
      </c>
      <c r="U99" s="319">
        <v>366988.34</v>
      </c>
      <c r="V99" s="304">
        <f t="shared" si="2"/>
        <v>3302588.9799999995</v>
      </c>
      <c r="X99" s="298"/>
    </row>
    <row r="100" spans="1:24" s="288" customFormat="1" ht="12.75">
      <c r="A100" s="400"/>
      <c r="B100" s="305" t="s">
        <v>576</v>
      </c>
      <c r="C100" s="402"/>
      <c r="D100" s="408"/>
      <c r="E100" s="306" t="s">
        <v>574</v>
      </c>
      <c r="F100" s="307">
        <v>0.0077</v>
      </c>
      <c r="G100" s="308">
        <v>30001</v>
      </c>
      <c r="H100" s="308">
        <v>31031</v>
      </c>
      <c r="I100" s="308">
        <v>28985</v>
      </c>
      <c r="J100" s="308">
        <v>26779</v>
      </c>
      <c r="K100" s="308">
        <v>24653</v>
      </c>
      <c r="L100" s="308">
        <v>22527</v>
      </c>
      <c r="M100" s="308">
        <v>20458</v>
      </c>
      <c r="N100" s="308">
        <v>18275</v>
      </c>
      <c r="O100" s="308">
        <v>16149</v>
      </c>
      <c r="P100" s="308">
        <v>14023</v>
      </c>
      <c r="Q100" s="308">
        <v>11931</v>
      </c>
      <c r="R100" s="308">
        <v>9771</v>
      </c>
      <c r="S100" s="308">
        <v>7645</v>
      </c>
      <c r="T100" s="323">
        <v>5519</v>
      </c>
      <c r="U100" s="323">
        <f>3403+1267</f>
        <v>4670</v>
      </c>
      <c r="V100" s="311">
        <f t="shared" si="2"/>
        <v>272417</v>
      </c>
      <c r="X100" s="298"/>
    </row>
    <row r="101" spans="1:24" s="288" customFormat="1" ht="12.75" customHeight="1">
      <c r="A101" s="399">
        <v>48</v>
      </c>
      <c r="B101" s="299" t="s">
        <v>477</v>
      </c>
      <c r="C101" s="401" t="s">
        <v>533</v>
      </c>
      <c r="D101" s="407">
        <v>115461.78</v>
      </c>
      <c r="E101" s="416" t="s">
        <v>577</v>
      </c>
      <c r="F101" s="328" t="s">
        <v>474</v>
      </c>
      <c r="G101" s="301">
        <v>10267.44</v>
      </c>
      <c r="H101" s="301">
        <v>10267.44</v>
      </c>
      <c r="I101" s="301">
        <v>10267.44</v>
      </c>
      <c r="J101" s="301">
        <v>10267.44</v>
      </c>
      <c r="K101" s="301">
        <v>10267.44</v>
      </c>
      <c r="L101" s="301">
        <v>10267.44</v>
      </c>
      <c r="M101" s="301">
        <v>10267.44</v>
      </c>
      <c r="N101" s="301">
        <v>10267.44</v>
      </c>
      <c r="O101" s="301">
        <v>10267.44</v>
      </c>
      <c r="P101" s="301">
        <v>10267.44</v>
      </c>
      <c r="Q101" s="301">
        <v>2519.94</v>
      </c>
      <c r="R101" s="326"/>
      <c r="S101" s="326"/>
      <c r="T101" s="327"/>
      <c r="U101" s="327"/>
      <c r="V101" s="304">
        <f t="shared" si="2"/>
        <v>105194.34000000001</v>
      </c>
      <c r="X101" s="298"/>
    </row>
    <row r="102" spans="1:24" s="288" customFormat="1" ht="12.75">
      <c r="A102" s="400"/>
      <c r="B102" s="305" t="s">
        <v>578</v>
      </c>
      <c r="C102" s="402"/>
      <c r="D102" s="408"/>
      <c r="E102" s="417"/>
      <c r="F102" s="307">
        <v>0.00548</v>
      </c>
      <c r="G102" s="308">
        <v>691</v>
      </c>
      <c r="H102" s="308">
        <v>946</v>
      </c>
      <c r="I102" s="308">
        <v>845</v>
      </c>
      <c r="J102" s="308">
        <v>738</v>
      </c>
      <c r="K102" s="308">
        <v>634</v>
      </c>
      <c r="L102" s="308">
        <v>530</v>
      </c>
      <c r="M102" s="308">
        <v>427</v>
      </c>
      <c r="N102" s="308">
        <v>322</v>
      </c>
      <c r="O102" s="308">
        <v>218</v>
      </c>
      <c r="P102" s="308">
        <v>114</v>
      </c>
      <c r="Q102" s="308">
        <v>18</v>
      </c>
      <c r="R102" s="320"/>
      <c r="S102" s="320"/>
      <c r="T102" s="324"/>
      <c r="U102" s="324"/>
      <c r="V102" s="311">
        <f t="shared" si="2"/>
        <v>5483</v>
      </c>
      <c r="X102" s="298"/>
    </row>
    <row r="103" spans="1:24" s="288" customFormat="1" ht="12.75" customHeight="1">
      <c r="A103" s="399">
        <v>49</v>
      </c>
      <c r="B103" s="299" t="s">
        <v>477</v>
      </c>
      <c r="C103" s="401" t="s">
        <v>550</v>
      </c>
      <c r="D103" s="407">
        <v>779949.97</v>
      </c>
      <c r="E103" s="416" t="s">
        <v>579</v>
      </c>
      <c r="F103" s="328" t="s">
        <v>474</v>
      </c>
      <c r="G103" s="301">
        <v>51052.64</v>
      </c>
      <c r="H103" s="301">
        <v>51052.64</v>
      </c>
      <c r="I103" s="301">
        <v>51052.64</v>
      </c>
      <c r="J103" s="301">
        <v>51052.64</v>
      </c>
      <c r="K103" s="301">
        <v>51052.64</v>
      </c>
      <c r="L103" s="301">
        <v>51052.64</v>
      </c>
      <c r="M103" s="301">
        <v>51052.64</v>
      </c>
      <c r="N103" s="301">
        <v>51052.64</v>
      </c>
      <c r="O103" s="301">
        <v>51052.64</v>
      </c>
      <c r="P103" s="301">
        <v>51052.64</v>
      </c>
      <c r="Q103" s="301">
        <v>51052.64</v>
      </c>
      <c r="R103" s="301">
        <v>51052.64</v>
      </c>
      <c r="S103" s="301">
        <v>51052.64</v>
      </c>
      <c r="T103" s="301">
        <v>51052.64</v>
      </c>
      <c r="U103" s="319">
        <f>51052.64+12737.49</f>
        <v>63790.13</v>
      </c>
      <c r="V103" s="304">
        <f t="shared" si="2"/>
        <v>778527.0900000001</v>
      </c>
      <c r="X103" s="298"/>
    </row>
    <row r="104" spans="1:24" s="288" customFormat="1" ht="12.75">
      <c r="A104" s="400"/>
      <c r="B104" s="305" t="s">
        <v>580</v>
      </c>
      <c r="C104" s="402"/>
      <c r="D104" s="408"/>
      <c r="E104" s="417"/>
      <c r="F104" s="307">
        <v>0.0115</v>
      </c>
      <c r="G104" s="308">
        <v>5305</v>
      </c>
      <c r="H104" s="308">
        <v>7295</v>
      </c>
      <c r="I104" s="308">
        <v>6796</v>
      </c>
      <c r="J104" s="308">
        <v>6260</v>
      </c>
      <c r="K104" s="308">
        <v>5742</v>
      </c>
      <c r="L104" s="308">
        <v>5224</v>
      </c>
      <c r="M104" s="308">
        <v>4720</v>
      </c>
      <c r="N104" s="308">
        <v>4189</v>
      </c>
      <c r="O104" s="308">
        <v>3672</v>
      </c>
      <c r="P104" s="308">
        <v>3154</v>
      </c>
      <c r="Q104" s="308">
        <v>2644</v>
      </c>
      <c r="R104" s="308">
        <v>2119</v>
      </c>
      <c r="S104" s="308">
        <v>1601</v>
      </c>
      <c r="T104" s="323">
        <v>1084</v>
      </c>
      <c r="U104" s="323">
        <f>568+89</f>
        <v>657</v>
      </c>
      <c r="V104" s="311">
        <f t="shared" si="2"/>
        <v>60462</v>
      </c>
      <c r="X104" s="298"/>
    </row>
    <row r="105" spans="1:24" s="288" customFormat="1" ht="12.75" customHeight="1">
      <c r="A105" s="399">
        <v>50</v>
      </c>
      <c r="B105" s="299" t="s">
        <v>477</v>
      </c>
      <c r="C105" s="401" t="s">
        <v>581</v>
      </c>
      <c r="D105" s="407">
        <v>238645.9</v>
      </c>
      <c r="E105" s="416" t="s">
        <v>579</v>
      </c>
      <c r="F105" s="328" t="s">
        <v>474</v>
      </c>
      <c r="G105" s="301">
        <v>21212.16</v>
      </c>
      <c r="H105" s="301">
        <v>21212.16</v>
      </c>
      <c r="I105" s="301">
        <v>21212.16</v>
      </c>
      <c r="J105" s="301">
        <v>21212.16</v>
      </c>
      <c r="K105" s="301">
        <v>21212.16</v>
      </c>
      <c r="L105" s="301">
        <v>21212.16</v>
      </c>
      <c r="M105" s="301">
        <v>21212.16</v>
      </c>
      <c r="N105" s="301">
        <v>21212.16</v>
      </c>
      <c r="O105" s="301">
        <v>21212.16</v>
      </c>
      <c r="P105" s="301">
        <v>21212.16</v>
      </c>
      <c r="Q105" s="301">
        <v>5312.14</v>
      </c>
      <c r="R105" s="326"/>
      <c r="S105" s="326"/>
      <c r="T105" s="327"/>
      <c r="U105" s="327"/>
      <c r="V105" s="304">
        <f t="shared" si="2"/>
        <v>217433.74000000002</v>
      </c>
      <c r="X105" s="298"/>
    </row>
    <row r="106" spans="1:24" s="288" customFormat="1" ht="12.75">
      <c r="A106" s="400"/>
      <c r="B106" s="305" t="s">
        <v>582</v>
      </c>
      <c r="C106" s="402"/>
      <c r="D106" s="408"/>
      <c r="E106" s="417"/>
      <c r="F106" s="307">
        <v>0.0115</v>
      </c>
      <c r="G106" s="308">
        <v>1476</v>
      </c>
      <c r="H106" s="308">
        <v>1956</v>
      </c>
      <c r="I106" s="308">
        <v>1746</v>
      </c>
      <c r="J106" s="308">
        <v>1526</v>
      </c>
      <c r="K106" s="308">
        <v>1311</v>
      </c>
      <c r="L106" s="308">
        <v>1096</v>
      </c>
      <c r="M106" s="308">
        <v>883</v>
      </c>
      <c r="N106" s="308">
        <v>666</v>
      </c>
      <c r="O106" s="308">
        <v>451</v>
      </c>
      <c r="P106" s="308">
        <v>236</v>
      </c>
      <c r="Q106" s="308">
        <v>37</v>
      </c>
      <c r="R106" s="320"/>
      <c r="S106" s="320"/>
      <c r="T106" s="324"/>
      <c r="U106" s="324"/>
      <c r="V106" s="311">
        <f t="shared" si="2"/>
        <v>11384</v>
      </c>
      <c r="X106" s="298"/>
    </row>
    <row r="107" spans="1:24" s="288" customFormat="1" ht="12.75" customHeight="1">
      <c r="A107" s="399">
        <v>51</v>
      </c>
      <c r="B107" s="299" t="s">
        <v>477</v>
      </c>
      <c r="C107" s="401" t="s">
        <v>542</v>
      </c>
      <c r="D107" s="407">
        <v>600458.34</v>
      </c>
      <c r="E107" s="416" t="s">
        <v>583</v>
      </c>
      <c r="F107" s="328" t="s">
        <v>474</v>
      </c>
      <c r="G107" s="301">
        <v>39282.64</v>
      </c>
      <c r="H107" s="301">
        <v>39282.64</v>
      </c>
      <c r="I107" s="301">
        <v>39282.64</v>
      </c>
      <c r="J107" s="301">
        <v>39282.64</v>
      </c>
      <c r="K107" s="301">
        <v>39282.64</v>
      </c>
      <c r="L107" s="301">
        <v>39282.64</v>
      </c>
      <c r="M107" s="301">
        <v>39282.64</v>
      </c>
      <c r="N107" s="301">
        <v>39282.64</v>
      </c>
      <c r="O107" s="301">
        <v>39282.64</v>
      </c>
      <c r="P107" s="301">
        <v>39282.64</v>
      </c>
      <c r="Q107" s="301">
        <v>39282.64</v>
      </c>
      <c r="R107" s="301">
        <v>39282.64</v>
      </c>
      <c r="S107" s="301">
        <v>39282.64</v>
      </c>
      <c r="T107" s="301">
        <v>39282.64</v>
      </c>
      <c r="U107" s="327">
        <f>39282.64+9795.86</f>
        <v>49078.5</v>
      </c>
      <c r="V107" s="304">
        <f t="shared" si="2"/>
        <v>599035.4600000001</v>
      </c>
      <c r="X107" s="298"/>
    </row>
    <row r="108" spans="1:24" s="288" customFormat="1" ht="12.75">
      <c r="A108" s="400"/>
      <c r="B108" s="305" t="s">
        <v>584</v>
      </c>
      <c r="C108" s="402"/>
      <c r="D108" s="408"/>
      <c r="E108" s="417"/>
      <c r="F108" s="307">
        <v>0.00548</v>
      </c>
      <c r="G108" s="308">
        <v>3951</v>
      </c>
      <c r="H108" s="308">
        <v>5614</v>
      </c>
      <c r="I108" s="308">
        <v>5230</v>
      </c>
      <c r="J108" s="308">
        <v>4817</v>
      </c>
      <c r="K108" s="308">
        <v>4419</v>
      </c>
      <c r="L108" s="308">
        <v>4021</v>
      </c>
      <c r="M108" s="308">
        <v>3633</v>
      </c>
      <c r="N108" s="308">
        <v>3224</v>
      </c>
      <c r="O108" s="308">
        <v>2826</v>
      </c>
      <c r="P108" s="308">
        <v>2428</v>
      </c>
      <c r="Q108" s="308">
        <v>2035</v>
      </c>
      <c r="R108" s="308">
        <v>1631</v>
      </c>
      <c r="S108" s="308">
        <v>1233</v>
      </c>
      <c r="T108" s="323">
        <v>835</v>
      </c>
      <c r="U108" s="323">
        <f>438+69</f>
        <v>507</v>
      </c>
      <c r="V108" s="311">
        <f t="shared" si="2"/>
        <v>46404</v>
      </c>
      <c r="X108" s="298"/>
    </row>
    <row r="109" spans="1:24" s="288" customFormat="1" ht="12.75" customHeight="1">
      <c r="A109" s="399">
        <v>52</v>
      </c>
      <c r="B109" s="299" t="s">
        <v>477</v>
      </c>
      <c r="C109" s="401" t="s">
        <v>585</v>
      </c>
      <c r="D109" s="407">
        <v>183148.91</v>
      </c>
      <c r="E109" s="416" t="s">
        <v>586</v>
      </c>
      <c r="F109" s="328" t="s">
        <v>474</v>
      </c>
      <c r="G109" s="301">
        <v>16283.36</v>
      </c>
      <c r="H109" s="301">
        <v>16283.36</v>
      </c>
      <c r="I109" s="301">
        <v>16283.36</v>
      </c>
      <c r="J109" s="301">
        <v>16283.36</v>
      </c>
      <c r="K109" s="301">
        <v>16283.36</v>
      </c>
      <c r="L109" s="301">
        <v>16283.36</v>
      </c>
      <c r="M109" s="301">
        <v>16283.36</v>
      </c>
      <c r="N109" s="301">
        <v>16283.36</v>
      </c>
      <c r="O109" s="301">
        <v>16283.36</v>
      </c>
      <c r="P109" s="301">
        <v>16283.36</v>
      </c>
      <c r="Q109" s="301">
        <v>4031.95</v>
      </c>
      <c r="R109" s="326"/>
      <c r="S109" s="326"/>
      <c r="T109" s="327"/>
      <c r="U109" s="327"/>
      <c r="V109" s="304">
        <f t="shared" si="2"/>
        <v>166865.55</v>
      </c>
      <c r="X109" s="298"/>
    </row>
    <row r="110" spans="1:24" s="288" customFormat="1" ht="12.75">
      <c r="A110" s="400"/>
      <c r="B110" s="305" t="s">
        <v>587</v>
      </c>
      <c r="C110" s="402"/>
      <c r="D110" s="408"/>
      <c r="E110" s="417"/>
      <c r="F110" s="307">
        <v>0.0115</v>
      </c>
      <c r="G110" s="308">
        <v>1666</v>
      </c>
      <c r="H110" s="308">
        <v>1501</v>
      </c>
      <c r="I110" s="308">
        <v>1340</v>
      </c>
      <c r="J110" s="308">
        <v>1171</v>
      </c>
      <c r="K110" s="308">
        <v>1006</v>
      </c>
      <c r="L110" s="308">
        <v>841</v>
      </c>
      <c r="M110" s="308">
        <v>678</v>
      </c>
      <c r="N110" s="308">
        <v>511</v>
      </c>
      <c r="O110" s="308">
        <v>346</v>
      </c>
      <c r="P110" s="308">
        <v>181</v>
      </c>
      <c r="Q110" s="308">
        <v>28</v>
      </c>
      <c r="R110" s="320"/>
      <c r="S110" s="320"/>
      <c r="T110" s="324"/>
      <c r="U110" s="324"/>
      <c r="V110" s="311">
        <f t="shared" si="2"/>
        <v>9269</v>
      </c>
      <c r="X110" s="298"/>
    </row>
    <row r="111" spans="1:24" s="288" customFormat="1" ht="12.75" customHeight="1">
      <c r="A111" s="399">
        <v>53</v>
      </c>
      <c r="B111" s="299" t="s">
        <v>477</v>
      </c>
      <c r="C111" s="401" t="s">
        <v>588</v>
      </c>
      <c r="D111" s="407">
        <v>506634.24</v>
      </c>
      <c r="E111" s="416" t="s">
        <v>589</v>
      </c>
      <c r="F111" s="328" t="s">
        <v>474</v>
      </c>
      <c r="G111" s="301">
        <v>45036.72</v>
      </c>
      <c r="H111" s="301">
        <v>45036.72</v>
      </c>
      <c r="I111" s="301">
        <v>45036.72</v>
      </c>
      <c r="J111" s="301">
        <v>45036.72</v>
      </c>
      <c r="K111" s="301">
        <v>45036.72</v>
      </c>
      <c r="L111" s="301">
        <v>45036.72</v>
      </c>
      <c r="M111" s="301">
        <v>45036.72</v>
      </c>
      <c r="N111" s="301">
        <v>45036.72</v>
      </c>
      <c r="O111" s="301">
        <v>45036.72</v>
      </c>
      <c r="P111" s="301">
        <v>45036.72</v>
      </c>
      <c r="Q111" s="301">
        <v>11230.32</v>
      </c>
      <c r="R111" s="326"/>
      <c r="S111" s="326"/>
      <c r="T111" s="327"/>
      <c r="U111" s="327"/>
      <c r="V111" s="304">
        <f t="shared" si="2"/>
        <v>461597.51999999996</v>
      </c>
      <c r="X111" s="298"/>
    </row>
    <row r="112" spans="1:24" s="288" customFormat="1" ht="12.75">
      <c r="A112" s="400"/>
      <c r="B112" s="305" t="s">
        <v>590</v>
      </c>
      <c r="C112" s="402"/>
      <c r="D112" s="408"/>
      <c r="E112" s="417"/>
      <c r="F112" s="307">
        <v>0.0089</v>
      </c>
      <c r="G112" s="308">
        <v>4610</v>
      </c>
      <c r="H112" s="308">
        <v>4153</v>
      </c>
      <c r="I112" s="308">
        <v>3707</v>
      </c>
      <c r="J112" s="308">
        <v>3240</v>
      </c>
      <c r="K112" s="308">
        <v>2783</v>
      </c>
      <c r="L112" s="308">
        <v>2327</v>
      </c>
      <c r="M112" s="308">
        <v>1875</v>
      </c>
      <c r="N112" s="308">
        <v>1413</v>
      </c>
      <c r="O112" s="308">
        <v>957</v>
      </c>
      <c r="P112" s="308">
        <v>500</v>
      </c>
      <c r="Q112" s="308">
        <v>79</v>
      </c>
      <c r="R112" s="320"/>
      <c r="S112" s="320"/>
      <c r="T112" s="324"/>
      <c r="U112" s="324"/>
      <c r="V112" s="311">
        <f t="shared" si="2"/>
        <v>25644</v>
      </c>
      <c r="X112" s="298"/>
    </row>
    <row r="113" spans="1:24" s="288" customFormat="1" ht="12.75" customHeight="1">
      <c r="A113" s="399">
        <v>54</v>
      </c>
      <c r="B113" s="299" t="s">
        <v>477</v>
      </c>
      <c r="C113" s="401" t="s">
        <v>591</v>
      </c>
      <c r="D113" s="407">
        <v>562230.54</v>
      </c>
      <c r="E113" s="416" t="s">
        <v>589</v>
      </c>
      <c r="F113" s="328" t="s">
        <v>474</v>
      </c>
      <c r="G113" s="301">
        <v>36448.28</v>
      </c>
      <c r="H113" s="301">
        <v>36448.28</v>
      </c>
      <c r="I113" s="301">
        <v>36448.28</v>
      </c>
      <c r="J113" s="301">
        <v>36448.28</v>
      </c>
      <c r="K113" s="301">
        <v>36448.28</v>
      </c>
      <c r="L113" s="301">
        <v>36448.28</v>
      </c>
      <c r="M113" s="301">
        <v>36448.28</v>
      </c>
      <c r="N113" s="301">
        <v>36448.28</v>
      </c>
      <c r="O113" s="301">
        <v>36448.28</v>
      </c>
      <c r="P113" s="301">
        <v>36448.28</v>
      </c>
      <c r="Q113" s="301">
        <v>36448.28</v>
      </c>
      <c r="R113" s="301">
        <v>36448.28</v>
      </c>
      <c r="S113" s="301">
        <v>36448.28</v>
      </c>
      <c r="T113" s="301">
        <v>36448.28</v>
      </c>
      <c r="U113" s="319">
        <f>36448.28+9092.02</f>
        <v>45540.3</v>
      </c>
      <c r="V113" s="304">
        <f t="shared" si="2"/>
        <v>555816.2200000002</v>
      </c>
      <c r="X113" s="298"/>
    </row>
    <row r="114" spans="1:24" s="288" customFormat="1" ht="12.75">
      <c r="A114" s="400"/>
      <c r="B114" s="305" t="s">
        <v>592</v>
      </c>
      <c r="C114" s="402"/>
      <c r="D114" s="408"/>
      <c r="E114" s="417"/>
      <c r="F114" s="307">
        <v>0.0089</v>
      </c>
      <c r="G114" s="308">
        <v>5561</v>
      </c>
      <c r="H114" s="308">
        <v>5209</v>
      </c>
      <c r="I114" s="308">
        <v>4853</v>
      </c>
      <c r="J114" s="308">
        <v>4470</v>
      </c>
      <c r="K114" s="308">
        <v>4100</v>
      </c>
      <c r="L114" s="308">
        <v>3731</v>
      </c>
      <c r="M114" s="308">
        <v>3371</v>
      </c>
      <c r="N114" s="308">
        <v>2992</v>
      </c>
      <c r="O114" s="308">
        <v>2622</v>
      </c>
      <c r="P114" s="308">
        <v>2253</v>
      </c>
      <c r="Q114" s="308">
        <v>1888</v>
      </c>
      <c r="R114" s="308">
        <v>1513</v>
      </c>
      <c r="S114" s="308">
        <v>1144</v>
      </c>
      <c r="T114" s="323">
        <v>774</v>
      </c>
      <c r="U114" s="323">
        <f>406+64</f>
        <v>470</v>
      </c>
      <c r="V114" s="304">
        <f t="shared" si="2"/>
        <v>44951</v>
      </c>
      <c r="X114" s="298"/>
    </row>
    <row r="115" spans="1:24" s="288" customFormat="1" ht="12.75" customHeight="1">
      <c r="A115" s="399">
        <v>55</v>
      </c>
      <c r="B115" s="299" t="s">
        <v>477</v>
      </c>
      <c r="C115" s="401" t="s">
        <v>593</v>
      </c>
      <c r="D115" s="407">
        <v>140213.39</v>
      </c>
      <c r="E115" s="416" t="s">
        <v>589</v>
      </c>
      <c r="F115" s="328" t="s">
        <v>474</v>
      </c>
      <c r="G115" s="301">
        <v>12464.36</v>
      </c>
      <c r="H115" s="301">
        <v>12464.36</v>
      </c>
      <c r="I115" s="301">
        <v>12464.36</v>
      </c>
      <c r="J115" s="301">
        <v>12464.36</v>
      </c>
      <c r="K115" s="301">
        <v>12464.36</v>
      </c>
      <c r="L115" s="301">
        <v>12464.36</v>
      </c>
      <c r="M115" s="301">
        <v>12464.36</v>
      </c>
      <c r="N115" s="301">
        <v>12464.36</v>
      </c>
      <c r="O115" s="301">
        <v>12464.36</v>
      </c>
      <c r="P115" s="301">
        <v>12464.36</v>
      </c>
      <c r="Q115" s="301">
        <v>3105.43</v>
      </c>
      <c r="R115" s="326"/>
      <c r="S115" s="326"/>
      <c r="T115" s="327"/>
      <c r="U115" s="327"/>
      <c r="V115" s="304">
        <f t="shared" si="2"/>
        <v>127749.03</v>
      </c>
      <c r="X115" s="298"/>
    </row>
    <row r="116" spans="1:24" s="288" customFormat="1" ht="12.75">
      <c r="A116" s="400"/>
      <c r="B116" s="305" t="s">
        <v>594</v>
      </c>
      <c r="C116" s="402"/>
      <c r="D116" s="408"/>
      <c r="E116" s="417"/>
      <c r="F116" s="307">
        <v>0.0089</v>
      </c>
      <c r="G116" s="308">
        <v>1276</v>
      </c>
      <c r="H116" s="308">
        <v>1149</v>
      </c>
      <c r="I116" s="308">
        <v>1026</v>
      </c>
      <c r="J116" s="308">
        <v>897</v>
      </c>
      <c r="K116" s="308">
        <v>770</v>
      </c>
      <c r="L116" s="308">
        <v>644</v>
      </c>
      <c r="M116" s="308">
        <v>519</v>
      </c>
      <c r="N116" s="308">
        <v>391</v>
      </c>
      <c r="O116" s="308">
        <v>265</v>
      </c>
      <c r="P116" s="308">
        <v>139</v>
      </c>
      <c r="Q116" s="308">
        <v>22</v>
      </c>
      <c r="R116" s="320"/>
      <c r="S116" s="320"/>
      <c r="T116" s="324"/>
      <c r="U116" s="324"/>
      <c r="V116" s="311">
        <f t="shared" si="2"/>
        <v>7098</v>
      </c>
      <c r="X116" s="298"/>
    </row>
    <row r="117" spans="1:24" s="288" customFormat="1" ht="12.75" customHeight="1">
      <c r="A117" s="399">
        <v>56</v>
      </c>
      <c r="B117" s="299" t="s">
        <v>477</v>
      </c>
      <c r="C117" s="401" t="s">
        <v>595</v>
      </c>
      <c r="D117" s="407">
        <v>178581.82</v>
      </c>
      <c r="E117" s="416" t="s">
        <v>596</v>
      </c>
      <c r="F117" s="328" t="s">
        <v>474</v>
      </c>
      <c r="G117" s="326"/>
      <c r="H117" s="326"/>
      <c r="I117" s="326"/>
      <c r="J117" s="326"/>
      <c r="K117" s="326"/>
      <c r="L117" s="326"/>
      <c r="M117" s="301">
        <v>1788.59</v>
      </c>
      <c r="N117" s="301">
        <v>15873.56</v>
      </c>
      <c r="O117" s="301">
        <v>15873.56</v>
      </c>
      <c r="P117" s="301">
        <v>15873.56</v>
      </c>
      <c r="Q117" s="301">
        <v>15873.56</v>
      </c>
      <c r="R117" s="301">
        <v>3972.68</v>
      </c>
      <c r="S117" s="326"/>
      <c r="T117" s="327"/>
      <c r="U117" s="327"/>
      <c r="V117" s="304">
        <f t="shared" si="2"/>
        <v>69255.51</v>
      </c>
      <c r="X117" s="298"/>
    </row>
    <row r="118" spans="1:24" s="288" customFormat="1" ht="12.75">
      <c r="A118" s="400"/>
      <c r="B118" s="305" t="s">
        <v>597</v>
      </c>
      <c r="C118" s="402"/>
      <c r="D118" s="408"/>
      <c r="E118" s="417"/>
      <c r="F118" s="307">
        <v>0.00606</v>
      </c>
      <c r="G118" s="308">
        <v>564</v>
      </c>
      <c r="H118" s="308">
        <v>702</v>
      </c>
      <c r="I118" s="308">
        <v>704</v>
      </c>
      <c r="J118" s="308">
        <v>702</v>
      </c>
      <c r="K118" s="308">
        <v>702</v>
      </c>
      <c r="L118" s="308">
        <v>702</v>
      </c>
      <c r="M118" s="308">
        <v>704</v>
      </c>
      <c r="N118" s="308">
        <v>654</v>
      </c>
      <c r="O118" s="308">
        <v>498</v>
      </c>
      <c r="P118" s="308">
        <v>337</v>
      </c>
      <c r="Q118" s="308">
        <v>177</v>
      </c>
      <c r="R118" s="308">
        <v>28</v>
      </c>
      <c r="S118" s="320"/>
      <c r="T118" s="324"/>
      <c r="U118" s="324"/>
      <c r="V118" s="311">
        <f t="shared" si="2"/>
        <v>6474</v>
      </c>
      <c r="X118" s="298"/>
    </row>
    <row r="119" spans="1:24" s="288" customFormat="1" ht="12.75">
      <c r="A119" s="399">
        <v>57</v>
      </c>
      <c r="B119" s="299" t="s">
        <v>477</v>
      </c>
      <c r="C119" s="418" t="s">
        <v>598</v>
      </c>
      <c r="D119" s="413">
        <v>75804.92</v>
      </c>
      <c r="E119" s="420" t="s">
        <v>599</v>
      </c>
      <c r="F119" s="328" t="s">
        <v>474</v>
      </c>
      <c r="G119" s="301">
        <v>5048.35</v>
      </c>
      <c r="H119" s="301">
        <v>6738.72</v>
      </c>
      <c r="I119" s="301">
        <v>6738.72</v>
      </c>
      <c r="J119" s="301">
        <v>6738.72</v>
      </c>
      <c r="K119" s="301">
        <v>6738.72</v>
      </c>
      <c r="L119" s="301">
        <v>6738.72</v>
      </c>
      <c r="M119" s="301">
        <v>6738.72</v>
      </c>
      <c r="N119" s="301">
        <v>6738.72</v>
      </c>
      <c r="O119" s="301">
        <v>6738.72</v>
      </c>
      <c r="P119" s="301">
        <v>6738.72</v>
      </c>
      <c r="Q119" s="301">
        <v>6738.72</v>
      </c>
      <c r="R119" s="301">
        <v>3369.37</v>
      </c>
      <c r="S119" s="326"/>
      <c r="T119" s="327"/>
      <c r="U119" s="327"/>
      <c r="V119" s="304">
        <f t="shared" si="2"/>
        <v>75804.92</v>
      </c>
      <c r="X119" s="298"/>
    </row>
    <row r="120" spans="1:24" s="288" customFormat="1" ht="12.75">
      <c r="A120" s="400"/>
      <c r="B120" s="305" t="s">
        <v>600</v>
      </c>
      <c r="C120" s="419"/>
      <c r="D120" s="414"/>
      <c r="E120" s="421"/>
      <c r="F120" s="307">
        <v>0.00606</v>
      </c>
      <c r="G120" s="308">
        <v>611</v>
      </c>
      <c r="H120" s="308">
        <v>707</v>
      </c>
      <c r="I120" s="308">
        <v>640</v>
      </c>
      <c r="J120" s="308">
        <v>570</v>
      </c>
      <c r="K120" s="308">
        <v>502</v>
      </c>
      <c r="L120" s="308">
        <v>434</v>
      </c>
      <c r="M120" s="308">
        <v>366</v>
      </c>
      <c r="N120" s="308">
        <v>397</v>
      </c>
      <c r="O120" s="308">
        <v>229</v>
      </c>
      <c r="P120" s="308">
        <v>160</v>
      </c>
      <c r="Q120" s="308">
        <v>92</v>
      </c>
      <c r="R120" s="308">
        <v>24</v>
      </c>
      <c r="S120" s="320"/>
      <c r="T120" s="324"/>
      <c r="U120" s="324"/>
      <c r="V120" s="311">
        <f t="shared" si="2"/>
        <v>4732</v>
      </c>
      <c r="X120" s="298"/>
    </row>
    <row r="121" spans="1:24" s="288" customFormat="1" ht="12.75" customHeight="1">
      <c r="A121" s="399">
        <v>58</v>
      </c>
      <c r="B121" s="299" t="s">
        <v>477</v>
      </c>
      <c r="C121" s="418" t="s">
        <v>601</v>
      </c>
      <c r="D121" s="413">
        <v>62714.5</v>
      </c>
      <c r="E121" s="420" t="s">
        <v>599</v>
      </c>
      <c r="F121" s="328" t="s">
        <v>474</v>
      </c>
      <c r="G121" s="326"/>
      <c r="H121" s="326"/>
      <c r="I121" s="326"/>
      <c r="J121" s="326"/>
      <c r="K121" s="326"/>
      <c r="L121" s="326"/>
      <c r="M121" s="326"/>
      <c r="N121" s="301">
        <v>5540.44</v>
      </c>
      <c r="O121" s="301">
        <v>5571.96</v>
      </c>
      <c r="P121" s="301">
        <v>5571.96</v>
      </c>
      <c r="Q121" s="301">
        <v>5571.96</v>
      </c>
      <c r="R121" s="301">
        <v>1422.9</v>
      </c>
      <c r="S121" s="326"/>
      <c r="T121" s="327"/>
      <c r="U121" s="327"/>
      <c r="V121" s="304">
        <f t="shared" si="2"/>
        <v>23679.22</v>
      </c>
      <c r="X121" s="298"/>
    </row>
    <row r="122" spans="1:24" s="288" customFormat="1" ht="12.75">
      <c r="A122" s="400"/>
      <c r="B122" s="305" t="s">
        <v>602</v>
      </c>
      <c r="C122" s="419"/>
      <c r="D122" s="414"/>
      <c r="E122" s="421"/>
      <c r="F122" s="307">
        <v>0.00606</v>
      </c>
      <c r="G122" s="320">
        <v>193</v>
      </c>
      <c r="H122" s="320">
        <v>240</v>
      </c>
      <c r="I122" s="320">
        <v>241</v>
      </c>
      <c r="J122" s="320">
        <v>240</v>
      </c>
      <c r="K122" s="320">
        <v>240</v>
      </c>
      <c r="L122" s="320">
        <v>240</v>
      </c>
      <c r="M122" s="320">
        <v>241</v>
      </c>
      <c r="N122" s="320">
        <v>228</v>
      </c>
      <c r="O122" s="320">
        <v>175</v>
      </c>
      <c r="P122" s="320">
        <v>119</v>
      </c>
      <c r="Q122" s="320">
        <v>62</v>
      </c>
      <c r="R122" s="320">
        <v>10</v>
      </c>
      <c r="S122" s="320"/>
      <c r="T122" s="324"/>
      <c r="U122" s="324"/>
      <c r="V122" s="311">
        <f t="shared" si="2"/>
        <v>2229</v>
      </c>
      <c r="X122" s="298"/>
    </row>
    <row r="123" spans="1:24" s="288" customFormat="1" ht="12.75" customHeight="1">
      <c r="A123" s="399">
        <v>59</v>
      </c>
      <c r="B123" s="299" t="s">
        <v>477</v>
      </c>
      <c r="C123" s="418" t="s">
        <v>682</v>
      </c>
      <c r="D123" s="413">
        <v>912733.07</v>
      </c>
      <c r="E123" s="420" t="s">
        <v>603</v>
      </c>
      <c r="F123" s="328" t="s">
        <v>474</v>
      </c>
      <c r="G123" s="301">
        <v>60848.96</v>
      </c>
      <c r="H123" s="301">
        <v>81132.16</v>
      </c>
      <c r="I123" s="301">
        <v>81132.16</v>
      </c>
      <c r="J123" s="301">
        <v>81132.16</v>
      </c>
      <c r="K123" s="301">
        <v>81132.16</v>
      </c>
      <c r="L123" s="301">
        <v>81132.16</v>
      </c>
      <c r="M123" s="301">
        <v>81132.16</v>
      </c>
      <c r="N123" s="301">
        <v>81132.16</v>
      </c>
      <c r="O123" s="301">
        <v>81132.16</v>
      </c>
      <c r="P123" s="301">
        <v>81132.16</v>
      </c>
      <c r="Q123" s="301">
        <v>81132.16</v>
      </c>
      <c r="R123" s="301">
        <v>40562.51</v>
      </c>
      <c r="S123" s="326"/>
      <c r="T123" s="327"/>
      <c r="U123" s="327"/>
      <c r="V123" s="304">
        <f t="shared" si="2"/>
        <v>912733.0700000002</v>
      </c>
      <c r="X123" s="298"/>
    </row>
    <row r="124" spans="1:24" s="288" customFormat="1" ht="12.75">
      <c r="A124" s="400"/>
      <c r="B124" s="305" t="s">
        <v>604</v>
      </c>
      <c r="C124" s="419"/>
      <c r="D124" s="414"/>
      <c r="E124" s="421"/>
      <c r="F124" s="307">
        <v>0.0055</v>
      </c>
      <c r="G124" s="308">
        <v>7098</v>
      </c>
      <c r="H124" s="308">
        <v>8510</v>
      </c>
      <c r="I124" s="308">
        <v>7709</v>
      </c>
      <c r="J124" s="308">
        <v>6865</v>
      </c>
      <c r="K124" s="308">
        <v>6042</v>
      </c>
      <c r="L124" s="308">
        <v>5220</v>
      </c>
      <c r="M124" s="308">
        <v>4410</v>
      </c>
      <c r="N124" s="308">
        <v>3575</v>
      </c>
      <c r="O124" s="308">
        <v>2752</v>
      </c>
      <c r="P124" s="308">
        <v>1930</v>
      </c>
      <c r="Q124" s="308">
        <v>1110</v>
      </c>
      <c r="R124" s="308">
        <v>290</v>
      </c>
      <c r="S124" s="320"/>
      <c r="T124" s="324"/>
      <c r="U124" s="324"/>
      <c r="V124" s="311">
        <f t="shared" si="2"/>
        <v>55511</v>
      </c>
      <c r="X124" s="298"/>
    </row>
    <row r="125" spans="1:24" s="288" customFormat="1" ht="12.75" customHeight="1">
      <c r="A125" s="399">
        <v>60</v>
      </c>
      <c r="B125" s="299" t="s">
        <v>477</v>
      </c>
      <c r="C125" s="418" t="s">
        <v>605</v>
      </c>
      <c r="D125" s="413">
        <v>156218.53</v>
      </c>
      <c r="E125" s="420" t="s">
        <v>606</v>
      </c>
      <c r="F125" s="328" t="s">
        <v>474</v>
      </c>
      <c r="G125" s="301">
        <v>10415.42</v>
      </c>
      <c r="H125" s="301">
        <v>13887.24</v>
      </c>
      <c r="I125" s="301">
        <v>13887.24</v>
      </c>
      <c r="J125" s="301">
        <v>13887.24</v>
      </c>
      <c r="K125" s="301">
        <v>13887.24</v>
      </c>
      <c r="L125" s="301">
        <v>13887.24</v>
      </c>
      <c r="M125" s="301">
        <v>13887.24</v>
      </c>
      <c r="N125" s="301">
        <v>13887.24</v>
      </c>
      <c r="O125" s="301">
        <v>13887.24</v>
      </c>
      <c r="P125" s="301">
        <v>13887.24</v>
      </c>
      <c r="Q125" s="301">
        <v>13887.24</v>
      </c>
      <c r="R125" s="301">
        <v>6930.71</v>
      </c>
      <c r="S125" s="326"/>
      <c r="T125" s="327"/>
      <c r="U125" s="327"/>
      <c r="V125" s="304">
        <f t="shared" si="2"/>
        <v>156218.53</v>
      </c>
      <c r="X125" s="298"/>
    </row>
    <row r="126" spans="1:24" s="288" customFormat="1" ht="12.75">
      <c r="A126" s="400"/>
      <c r="B126" s="305" t="s">
        <v>607</v>
      </c>
      <c r="C126" s="419"/>
      <c r="D126" s="414"/>
      <c r="E126" s="421"/>
      <c r="F126" s="307">
        <v>0.00548</v>
      </c>
      <c r="G126" s="308">
        <v>1036</v>
      </c>
      <c r="H126" s="308">
        <v>1457</v>
      </c>
      <c r="I126" s="308">
        <v>1319</v>
      </c>
      <c r="J126" s="308">
        <v>1175</v>
      </c>
      <c r="K126" s="308">
        <v>1034</v>
      </c>
      <c r="L126" s="308">
        <v>893</v>
      </c>
      <c r="M126" s="308">
        <v>755</v>
      </c>
      <c r="N126" s="308">
        <v>612</v>
      </c>
      <c r="O126" s="308">
        <v>471</v>
      </c>
      <c r="P126" s="308">
        <v>330</v>
      </c>
      <c r="Q126" s="308">
        <v>190</v>
      </c>
      <c r="R126" s="308">
        <v>50</v>
      </c>
      <c r="S126" s="320"/>
      <c r="T126" s="324"/>
      <c r="U126" s="324"/>
      <c r="V126" s="311">
        <f t="shared" si="2"/>
        <v>9322</v>
      </c>
      <c r="X126" s="298"/>
    </row>
    <row r="127" spans="1:24" s="288" customFormat="1" ht="12.75" customHeight="1">
      <c r="A127" s="399">
        <v>61</v>
      </c>
      <c r="B127" s="299" t="s">
        <v>477</v>
      </c>
      <c r="C127" s="418" t="s">
        <v>683</v>
      </c>
      <c r="D127" s="413">
        <v>142226.65</v>
      </c>
      <c r="E127" s="420" t="s">
        <v>608</v>
      </c>
      <c r="F127" s="328" t="s">
        <v>474</v>
      </c>
      <c r="G127" s="301">
        <v>6450.53</v>
      </c>
      <c r="H127" s="301">
        <v>12931.04</v>
      </c>
      <c r="I127" s="301">
        <v>12931.04</v>
      </c>
      <c r="J127" s="301">
        <v>12931.04</v>
      </c>
      <c r="K127" s="301">
        <v>12931.04</v>
      </c>
      <c r="L127" s="301">
        <v>12931.04</v>
      </c>
      <c r="M127" s="301">
        <v>12931.04</v>
      </c>
      <c r="N127" s="301">
        <v>12931.04</v>
      </c>
      <c r="O127" s="301">
        <v>12931.04</v>
      </c>
      <c r="P127" s="301">
        <v>12931.04</v>
      </c>
      <c r="Q127" s="301">
        <v>12931.04</v>
      </c>
      <c r="R127" s="301">
        <v>6465.72</v>
      </c>
      <c r="S127" s="326"/>
      <c r="T127" s="327"/>
      <c r="U127" s="327"/>
      <c r="V127" s="304">
        <f t="shared" si="2"/>
        <v>142226.65000000005</v>
      </c>
      <c r="X127" s="298"/>
    </row>
    <row r="128" spans="1:24" s="288" customFormat="1" ht="12.75">
      <c r="A128" s="400"/>
      <c r="B128" s="305" t="s">
        <v>609</v>
      </c>
      <c r="C128" s="419"/>
      <c r="D128" s="414"/>
      <c r="E128" s="421"/>
      <c r="F128" s="307">
        <v>0.0092</v>
      </c>
      <c r="G128" s="308">
        <v>1441</v>
      </c>
      <c r="H128" s="308">
        <v>1356</v>
      </c>
      <c r="I128" s="308">
        <v>1229</v>
      </c>
      <c r="J128" s="308">
        <v>1094</v>
      </c>
      <c r="K128" s="308">
        <v>963</v>
      </c>
      <c r="L128" s="308">
        <v>832</v>
      </c>
      <c r="M128" s="308">
        <v>703</v>
      </c>
      <c r="N128" s="308">
        <v>570</v>
      </c>
      <c r="O128" s="308">
        <v>439</v>
      </c>
      <c r="P128" s="308">
        <v>308</v>
      </c>
      <c r="Q128" s="308">
        <v>177</v>
      </c>
      <c r="R128" s="308">
        <v>46</v>
      </c>
      <c r="S128" s="320"/>
      <c r="T128" s="324"/>
      <c r="U128" s="324"/>
      <c r="V128" s="311">
        <f t="shared" si="2"/>
        <v>9158</v>
      </c>
      <c r="X128" s="298"/>
    </row>
    <row r="129" spans="1:24" s="288" customFormat="1" ht="12.75" customHeight="1">
      <c r="A129" s="399">
        <v>62</v>
      </c>
      <c r="B129" s="299" t="s">
        <v>477</v>
      </c>
      <c r="C129" s="418" t="s">
        <v>533</v>
      </c>
      <c r="D129" s="413">
        <v>29053.99</v>
      </c>
      <c r="E129" s="420" t="s">
        <v>608</v>
      </c>
      <c r="F129" s="328" t="s">
        <v>474</v>
      </c>
      <c r="G129" s="301">
        <v>1922.66</v>
      </c>
      <c r="H129" s="301">
        <v>2583.92</v>
      </c>
      <c r="I129" s="301">
        <v>2583.92</v>
      </c>
      <c r="J129" s="301">
        <v>2583.92</v>
      </c>
      <c r="K129" s="301">
        <v>2583.92</v>
      </c>
      <c r="L129" s="301">
        <v>2583.92</v>
      </c>
      <c r="M129" s="301">
        <v>2583.92</v>
      </c>
      <c r="N129" s="301">
        <v>2583.92</v>
      </c>
      <c r="O129" s="301">
        <v>2583.92</v>
      </c>
      <c r="P129" s="301">
        <v>2583.92</v>
      </c>
      <c r="Q129" s="301">
        <v>2583.92</v>
      </c>
      <c r="R129" s="301">
        <v>1292.13</v>
      </c>
      <c r="S129" s="326"/>
      <c r="T129" s="327"/>
      <c r="U129" s="327"/>
      <c r="V129" s="304">
        <f t="shared" si="2"/>
        <v>29053.989999999994</v>
      </c>
      <c r="X129" s="298"/>
    </row>
    <row r="130" spans="1:24" s="288" customFormat="1" ht="12.75">
      <c r="A130" s="400"/>
      <c r="B130" s="305" t="s">
        <v>610</v>
      </c>
      <c r="C130" s="419"/>
      <c r="D130" s="414"/>
      <c r="E130" s="421"/>
      <c r="F130" s="307">
        <v>0.0092</v>
      </c>
      <c r="G130" s="308">
        <v>292</v>
      </c>
      <c r="H130" s="308">
        <v>271</v>
      </c>
      <c r="I130" s="308">
        <v>246</v>
      </c>
      <c r="J130" s="308">
        <v>219</v>
      </c>
      <c r="K130" s="308">
        <v>192</v>
      </c>
      <c r="L130" s="308">
        <v>166</v>
      </c>
      <c r="M130" s="308">
        <v>140</v>
      </c>
      <c r="N130" s="308">
        <v>114</v>
      </c>
      <c r="O130" s="308">
        <v>88</v>
      </c>
      <c r="P130" s="308">
        <v>61</v>
      </c>
      <c r="Q130" s="308">
        <v>35</v>
      </c>
      <c r="R130" s="308">
        <v>9</v>
      </c>
      <c r="S130" s="320"/>
      <c r="T130" s="324"/>
      <c r="U130" s="324"/>
      <c r="V130" s="311">
        <f t="shared" si="2"/>
        <v>1833</v>
      </c>
      <c r="X130" s="298"/>
    </row>
    <row r="131" spans="1:24" s="288" customFormat="1" ht="12.75" customHeight="1">
      <c r="A131" s="399">
        <v>63</v>
      </c>
      <c r="B131" s="299" t="s">
        <v>477</v>
      </c>
      <c r="C131" s="418" t="s">
        <v>601</v>
      </c>
      <c r="D131" s="413">
        <v>28919.87</v>
      </c>
      <c r="E131" s="420" t="s">
        <v>611</v>
      </c>
      <c r="F131" s="328" t="s">
        <v>474</v>
      </c>
      <c r="G131" s="326"/>
      <c r="H131" s="301">
        <v>2572.56</v>
      </c>
      <c r="I131" s="301">
        <v>2572.56</v>
      </c>
      <c r="J131" s="301">
        <v>2572.56</v>
      </c>
      <c r="K131" s="301">
        <v>2572.56</v>
      </c>
      <c r="L131" s="301">
        <v>2572.56</v>
      </c>
      <c r="M131" s="301">
        <v>2572.56</v>
      </c>
      <c r="N131" s="301">
        <v>2572.56</v>
      </c>
      <c r="O131" s="301">
        <v>2572.56</v>
      </c>
      <c r="P131" s="301">
        <v>2572.56</v>
      </c>
      <c r="Q131" s="301">
        <v>2572.56</v>
      </c>
      <c r="R131" s="301">
        <v>2572.56</v>
      </c>
      <c r="S131" s="301">
        <v>621.71</v>
      </c>
      <c r="T131" s="327"/>
      <c r="U131" s="327"/>
      <c r="V131" s="304">
        <f t="shared" si="2"/>
        <v>28919.870000000003</v>
      </c>
      <c r="X131" s="298"/>
    </row>
    <row r="132" spans="1:24" s="288" customFormat="1" ht="12.75">
      <c r="A132" s="400"/>
      <c r="B132" s="305" t="s">
        <v>612</v>
      </c>
      <c r="C132" s="419"/>
      <c r="D132" s="414"/>
      <c r="E132" s="421"/>
      <c r="F132" s="307">
        <v>0.0069</v>
      </c>
      <c r="G132" s="308">
        <v>270</v>
      </c>
      <c r="H132" s="308">
        <v>288</v>
      </c>
      <c r="I132" s="308">
        <v>264</v>
      </c>
      <c r="J132" s="308">
        <v>237</v>
      </c>
      <c r="K132" s="308">
        <v>211</v>
      </c>
      <c r="L132" s="308">
        <v>185</v>
      </c>
      <c r="M132" s="308">
        <v>159</v>
      </c>
      <c r="N132" s="308">
        <v>133</v>
      </c>
      <c r="O132" s="308">
        <v>107</v>
      </c>
      <c r="P132" s="308">
        <v>81</v>
      </c>
      <c r="Q132" s="308">
        <v>55</v>
      </c>
      <c r="R132" s="308">
        <v>28</v>
      </c>
      <c r="S132" s="308">
        <v>4</v>
      </c>
      <c r="T132" s="324"/>
      <c r="U132" s="324"/>
      <c r="V132" s="311">
        <f t="shared" si="2"/>
        <v>2022</v>
      </c>
      <c r="X132" s="298"/>
    </row>
    <row r="133" spans="1:24" s="288" customFormat="1" ht="12.75" customHeight="1">
      <c r="A133" s="399">
        <v>64</v>
      </c>
      <c r="B133" s="299" t="s">
        <v>477</v>
      </c>
      <c r="C133" s="418" t="s">
        <v>613</v>
      </c>
      <c r="D133" s="413">
        <v>8466400.93</v>
      </c>
      <c r="E133" s="420" t="s">
        <v>614</v>
      </c>
      <c r="F133" s="328" t="s">
        <v>474</v>
      </c>
      <c r="G133" s="326">
        <v>1581</v>
      </c>
      <c r="H133" s="301">
        <v>376286.98</v>
      </c>
      <c r="I133" s="301">
        <v>752573.96</v>
      </c>
      <c r="J133" s="301">
        <v>752573.96</v>
      </c>
      <c r="K133" s="301">
        <v>752573.96</v>
      </c>
      <c r="L133" s="301">
        <v>752573.96</v>
      </c>
      <c r="M133" s="301">
        <v>752573.96</v>
      </c>
      <c r="N133" s="301">
        <v>752573.96</v>
      </c>
      <c r="O133" s="301">
        <v>752573.96</v>
      </c>
      <c r="P133" s="301">
        <v>752573.96</v>
      </c>
      <c r="Q133" s="301">
        <v>752573.96</v>
      </c>
      <c r="R133" s="301">
        <v>752573.96</v>
      </c>
      <c r="S133" s="301">
        <v>564374.35</v>
      </c>
      <c r="T133" s="327"/>
      <c r="U133" s="327"/>
      <c r="V133" s="304">
        <f t="shared" si="2"/>
        <v>8467981.93</v>
      </c>
      <c r="X133" s="298"/>
    </row>
    <row r="134" spans="1:24" s="288" customFormat="1" ht="12.75">
      <c r="A134" s="400"/>
      <c r="B134" s="305" t="s">
        <v>615</v>
      </c>
      <c r="C134" s="419"/>
      <c r="D134" s="414"/>
      <c r="E134" s="421"/>
      <c r="F134" s="307">
        <v>0.00868</v>
      </c>
      <c r="G134" s="308">
        <v>58682</v>
      </c>
      <c r="H134" s="308">
        <v>85788</v>
      </c>
      <c r="I134" s="308">
        <v>81074</v>
      </c>
      <c r="J134" s="308">
        <v>73219</v>
      </c>
      <c r="K134" s="308">
        <v>65588</v>
      </c>
      <c r="L134" s="308">
        <v>57958</v>
      </c>
      <c r="M134" s="308">
        <v>50469</v>
      </c>
      <c r="N134" s="308">
        <v>42698</v>
      </c>
      <c r="O134" s="308">
        <v>35067</v>
      </c>
      <c r="P134" s="308">
        <v>27437</v>
      </c>
      <c r="Q134" s="308">
        <v>19864</v>
      </c>
      <c r="R134" s="308">
        <v>12177</v>
      </c>
      <c r="S134" s="308">
        <v>4546</v>
      </c>
      <c r="T134" s="324"/>
      <c r="U134" s="324"/>
      <c r="V134" s="311">
        <f t="shared" si="2"/>
        <v>614567</v>
      </c>
      <c r="X134" s="298"/>
    </row>
    <row r="135" spans="1:24" s="288" customFormat="1" ht="12.75" customHeight="1">
      <c r="A135" s="399">
        <v>65</v>
      </c>
      <c r="B135" s="299" t="s">
        <v>477</v>
      </c>
      <c r="C135" s="418" t="s">
        <v>684</v>
      </c>
      <c r="D135" s="413">
        <v>351453.61</v>
      </c>
      <c r="E135" s="420" t="s">
        <v>616</v>
      </c>
      <c r="F135" s="328" t="s">
        <v>474</v>
      </c>
      <c r="G135" s="326"/>
      <c r="H135" s="326"/>
      <c r="I135" s="326"/>
      <c r="J135" s="326"/>
      <c r="K135" s="326"/>
      <c r="L135" s="326"/>
      <c r="M135" s="301">
        <v>16815.83</v>
      </c>
      <c r="N135" s="301">
        <v>31303.16</v>
      </c>
      <c r="O135" s="301">
        <v>31303.16</v>
      </c>
      <c r="P135" s="301">
        <v>31303.16</v>
      </c>
      <c r="Q135" s="301">
        <v>31303.16</v>
      </c>
      <c r="R135" s="301">
        <v>31303.16</v>
      </c>
      <c r="S135" s="301">
        <v>30596.13</v>
      </c>
      <c r="T135" s="327"/>
      <c r="U135" s="327"/>
      <c r="V135" s="304">
        <f aca="true" t="shared" si="3" ref="V135:V164">SUM(G135:U135)</f>
        <v>203927.76</v>
      </c>
      <c r="X135" s="298"/>
    </row>
    <row r="136" spans="1:24" s="288" customFormat="1" ht="21.75" customHeight="1">
      <c r="A136" s="400"/>
      <c r="B136" s="305" t="s">
        <v>617</v>
      </c>
      <c r="C136" s="419"/>
      <c r="D136" s="414"/>
      <c r="E136" s="421"/>
      <c r="F136" s="307">
        <v>0.00889</v>
      </c>
      <c r="G136" s="308">
        <v>2380</v>
      </c>
      <c r="H136" s="308">
        <v>2068</v>
      </c>
      <c r="I136" s="308">
        <v>2073</v>
      </c>
      <c r="J136" s="308">
        <v>2068</v>
      </c>
      <c r="K136" s="308">
        <v>2068</v>
      </c>
      <c r="L136" s="308">
        <v>2068</v>
      </c>
      <c r="M136" s="308">
        <v>2068</v>
      </c>
      <c r="N136" s="308">
        <v>1848</v>
      </c>
      <c r="O136" s="308">
        <v>1531</v>
      </c>
      <c r="P136" s="308">
        <v>1213</v>
      </c>
      <c r="Q136" s="308">
        <v>899</v>
      </c>
      <c r="R136" s="308">
        <v>579</v>
      </c>
      <c r="S136" s="308">
        <v>261</v>
      </c>
      <c r="T136" s="323">
        <v>16</v>
      </c>
      <c r="U136" s="324"/>
      <c r="V136" s="311">
        <f t="shared" si="3"/>
        <v>21140</v>
      </c>
      <c r="X136" s="298"/>
    </row>
    <row r="137" spans="1:24" s="288" customFormat="1" ht="12.75" customHeight="1">
      <c r="A137" s="399">
        <v>66</v>
      </c>
      <c r="B137" s="299" t="s">
        <v>477</v>
      </c>
      <c r="C137" s="418" t="s">
        <v>685</v>
      </c>
      <c r="D137" s="413">
        <v>278882.87</v>
      </c>
      <c r="E137" s="420" t="s">
        <v>618</v>
      </c>
      <c r="F137" s="328" t="s">
        <v>474</v>
      </c>
      <c r="G137" s="326"/>
      <c r="H137" s="326"/>
      <c r="I137" s="326"/>
      <c r="J137" s="301">
        <v>5077.52</v>
      </c>
      <c r="K137" s="301">
        <v>24792.12</v>
      </c>
      <c r="L137" s="301">
        <v>24792.12</v>
      </c>
      <c r="M137" s="301">
        <v>24792.12</v>
      </c>
      <c r="N137" s="301">
        <v>24792.12</v>
      </c>
      <c r="O137" s="301">
        <v>24792.12</v>
      </c>
      <c r="P137" s="301">
        <v>24792.12</v>
      </c>
      <c r="Q137" s="301">
        <v>24792.12</v>
      </c>
      <c r="R137" s="301">
        <v>24792.12</v>
      </c>
      <c r="S137" s="301">
        <v>18565.61</v>
      </c>
      <c r="T137" s="327"/>
      <c r="U137" s="327"/>
      <c r="V137" s="304">
        <f t="shared" si="3"/>
        <v>221980.08999999997</v>
      </c>
      <c r="X137" s="298"/>
    </row>
    <row r="138" spans="1:24" s="288" customFormat="1" ht="12.75">
      <c r="A138" s="400"/>
      <c r="B138" s="305" t="s">
        <v>619</v>
      </c>
      <c r="C138" s="419"/>
      <c r="D138" s="414"/>
      <c r="E138" s="421"/>
      <c r="F138" s="307">
        <v>0.00548</v>
      </c>
      <c r="G138" s="308">
        <v>1490</v>
      </c>
      <c r="H138" s="308">
        <v>2251</v>
      </c>
      <c r="I138" s="308">
        <v>2257</v>
      </c>
      <c r="J138" s="308">
        <v>2251</v>
      </c>
      <c r="K138" s="308">
        <v>2158</v>
      </c>
      <c r="L138" s="308">
        <v>1909</v>
      </c>
      <c r="M138" s="308">
        <v>1662</v>
      </c>
      <c r="N138" s="308">
        <v>1406</v>
      </c>
      <c r="O138" s="308">
        <v>1155</v>
      </c>
      <c r="P138" s="308">
        <v>904</v>
      </c>
      <c r="Q138" s="308">
        <v>654</v>
      </c>
      <c r="R138" s="308">
        <v>401</v>
      </c>
      <c r="S138" s="308">
        <v>150</v>
      </c>
      <c r="T138" s="324"/>
      <c r="U138" s="324"/>
      <c r="V138" s="311">
        <f t="shared" si="3"/>
        <v>18648</v>
      </c>
      <c r="X138" s="298"/>
    </row>
    <row r="139" spans="1:24" s="288" customFormat="1" ht="12.75" customHeight="1">
      <c r="A139" s="399">
        <v>67</v>
      </c>
      <c r="B139" s="299" t="s">
        <v>477</v>
      </c>
      <c r="C139" s="418" t="s">
        <v>620</v>
      </c>
      <c r="D139" s="413">
        <v>151599.88</v>
      </c>
      <c r="E139" s="420" t="s">
        <v>621</v>
      </c>
      <c r="F139" s="328" t="s">
        <v>474</v>
      </c>
      <c r="G139" s="326"/>
      <c r="H139" s="301">
        <v>2109.45</v>
      </c>
      <c r="I139" s="301">
        <v>13477.44</v>
      </c>
      <c r="J139" s="301">
        <v>13477.44</v>
      </c>
      <c r="K139" s="301">
        <v>13477.44</v>
      </c>
      <c r="L139" s="301">
        <v>13477.44</v>
      </c>
      <c r="M139" s="301">
        <v>13477.44</v>
      </c>
      <c r="N139" s="301">
        <v>13477.44</v>
      </c>
      <c r="O139" s="301">
        <v>13477.44</v>
      </c>
      <c r="P139" s="301">
        <v>13477.44</v>
      </c>
      <c r="Q139" s="301">
        <v>13477.44</v>
      </c>
      <c r="R139" s="301">
        <v>13477.44</v>
      </c>
      <c r="S139" s="301">
        <v>10086.76</v>
      </c>
      <c r="T139" s="327"/>
      <c r="U139" s="327"/>
      <c r="V139" s="304">
        <f t="shared" si="3"/>
        <v>146970.61000000002</v>
      </c>
      <c r="X139" s="298"/>
    </row>
    <row r="140" spans="1:24" s="288" customFormat="1" ht="12.75">
      <c r="A140" s="400"/>
      <c r="B140" s="305" t="s">
        <v>622</v>
      </c>
      <c r="C140" s="419"/>
      <c r="D140" s="414"/>
      <c r="E140" s="421"/>
      <c r="F140" s="307">
        <v>0.0055</v>
      </c>
      <c r="G140" s="308">
        <v>989</v>
      </c>
      <c r="H140" s="308">
        <v>1490</v>
      </c>
      <c r="I140" s="308">
        <v>1449</v>
      </c>
      <c r="J140" s="308">
        <v>1311</v>
      </c>
      <c r="K140" s="308">
        <v>1175</v>
      </c>
      <c r="L140" s="308">
        <v>1038</v>
      </c>
      <c r="M140" s="308">
        <v>904</v>
      </c>
      <c r="N140" s="308">
        <v>764</v>
      </c>
      <c r="O140" s="308">
        <v>628</v>
      </c>
      <c r="P140" s="308">
        <v>491</v>
      </c>
      <c r="Q140" s="308">
        <v>356</v>
      </c>
      <c r="R140" s="308">
        <v>218</v>
      </c>
      <c r="S140" s="308">
        <v>81</v>
      </c>
      <c r="T140" s="324"/>
      <c r="U140" s="324"/>
      <c r="V140" s="311">
        <f t="shared" si="3"/>
        <v>10894</v>
      </c>
      <c r="X140" s="298"/>
    </row>
    <row r="141" spans="1:24" s="288" customFormat="1" ht="12.75" customHeight="1">
      <c r="A141" s="399">
        <v>68</v>
      </c>
      <c r="B141" s="299" t="s">
        <v>477</v>
      </c>
      <c r="C141" s="312" t="s">
        <v>623</v>
      </c>
      <c r="D141" s="413">
        <v>57170.99</v>
      </c>
      <c r="E141" s="420" t="s">
        <v>624</v>
      </c>
      <c r="F141" s="328" t="s">
        <v>474</v>
      </c>
      <c r="G141" s="326"/>
      <c r="H141" s="301">
        <v>2541.24</v>
      </c>
      <c r="I141" s="301">
        <v>5082.48</v>
      </c>
      <c r="J141" s="301">
        <v>5082.48</v>
      </c>
      <c r="K141" s="301">
        <v>5082.48</v>
      </c>
      <c r="L141" s="301">
        <v>5082.48</v>
      </c>
      <c r="M141" s="301">
        <v>5082.48</v>
      </c>
      <c r="N141" s="301">
        <v>5082.48</v>
      </c>
      <c r="O141" s="301">
        <v>5082.48</v>
      </c>
      <c r="P141" s="301">
        <v>5082.48</v>
      </c>
      <c r="Q141" s="301">
        <v>5082.48</v>
      </c>
      <c r="R141" s="301">
        <v>5082.48</v>
      </c>
      <c r="S141" s="301">
        <v>3804.95</v>
      </c>
      <c r="T141" s="327"/>
      <c r="U141" s="327"/>
      <c r="V141" s="304">
        <f t="shared" si="3"/>
        <v>57170.989999999976</v>
      </c>
      <c r="X141" s="298"/>
    </row>
    <row r="142" spans="1:24" s="288" customFormat="1" ht="12.75">
      <c r="A142" s="400"/>
      <c r="B142" s="305" t="s">
        <v>625</v>
      </c>
      <c r="C142" s="314"/>
      <c r="D142" s="414"/>
      <c r="E142" s="421"/>
      <c r="F142" s="307">
        <v>0.00548</v>
      </c>
      <c r="G142" s="308">
        <v>384</v>
      </c>
      <c r="H142" s="308">
        <v>578</v>
      </c>
      <c r="I142" s="308">
        <v>547</v>
      </c>
      <c r="J142" s="308">
        <v>494</v>
      </c>
      <c r="K142" s="308">
        <v>443</v>
      </c>
      <c r="L142" s="308">
        <v>391</v>
      </c>
      <c r="M142" s="308">
        <v>341</v>
      </c>
      <c r="N142" s="308">
        <v>288</v>
      </c>
      <c r="O142" s="308">
        <v>237</v>
      </c>
      <c r="P142" s="308">
        <v>185</v>
      </c>
      <c r="Q142" s="308">
        <v>134</v>
      </c>
      <c r="R142" s="308">
        <v>82</v>
      </c>
      <c r="S142" s="308">
        <v>31</v>
      </c>
      <c r="T142" s="324"/>
      <c r="U142" s="324"/>
      <c r="V142" s="311">
        <f t="shared" si="3"/>
        <v>4135</v>
      </c>
      <c r="X142" s="298"/>
    </row>
    <row r="143" spans="1:24" s="288" customFormat="1" ht="12.75" customHeight="1">
      <c r="A143" s="399">
        <v>69</v>
      </c>
      <c r="B143" s="299" t="s">
        <v>477</v>
      </c>
      <c r="C143" s="312" t="s">
        <v>626</v>
      </c>
      <c r="D143" s="413">
        <v>48916.98</v>
      </c>
      <c r="E143" s="420" t="s">
        <v>627</v>
      </c>
      <c r="F143" s="328" t="s">
        <v>474</v>
      </c>
      <c r="G143" s="326"/>
      <c r="H143" s="326"/>
      <c r="I143" s="326"/>
      <c r="J143" s="326"/>
      <c r="K143" s="326"/>
      <c r="L143" s="326"/>
      <c r="M143" s="301">
        <v>910.64</v>
      </c>
      <c r="N143" s="301">
        <v>3642.56</v>
      </c>
      <c r="O143" s="301">
        <v>3642.56</v>
      </c>
      <c r="P143" s="301">
        <v>3642.56</v>
      </c>
      <c r="Q143" s="301">
        <v>3642.56</v>
      </c>
      <c r="R143" s="301">
        <v>3642.56</v>
      </c>
      <c r="S143" s="301">
        <v>1820.08</v>
      </c>
      <c r="T143" s="327"/>
      <c r="U143" s="327"/>
      <c r="V143" s="304">
        <f t="shared" si="3"/>
        <v>20943.519999999997</v>
      </c>
      <c r="X143" s="298"/>
    </row>
    <row r="144" spans="1:24" s="288" customFormat="1" ht="12.75">
      <c r="A144" s="400"/>
      <c r="B144" s="305" t="s">
        <v>628</v>
      </c>
      <c r="C144" s="314"/>
      <c r="D144" s="414"/>
      <c r="E144" s="421"/>
      <c r="F144" s="307">
        <v>0.0055</v>
      </c>
      <c r="G144" s="308">
        <v>141</v>
      </c>
      <c r="H144" s="308">
        <v>212</v>
      </c>
      <c r="I144" s="308">
        <v>213</v>
      </c>
      <c r="J144" s="308">
        <v>212</v>
      </c>
      <c r="K144" s="308">
        <v>212</v>
      </c>
      <c r="L144" s="308">
        <v>212</v>
      </c>
      <c r="M144" s="308">
        <v>213</v>
      </c>
      <c r="N144" s="308">
        <v>197</v>
      </c>
      <c r="O144" s="308">
        <v>161</v>
      </c>
      <c r="P144" s="308">
        <v>124</v>
      </c>
      <c r="Q144" s="308">
        <v>87</v>
      </c>
      <c r="R144" s="308">
        <v>50</v>
      </c>
      <c r="S144" s="308">
        <v>13</v>
      </c>
      <c r="T144" s="324"/>
      <c r="U144" s="324"/>
      <c r="V144" s="311">
        <f t="shared" si="3"/>
        <v>2047</v>
      </c>
      <c r="X144" s="298"/>
    </row>
    <row r="145" spans="1:24" s="288" customFormat="1" ht="12.75" customHeight="1">
      <c r="A145" s="399">
        <v>70</v>
      </c>
      <c r="B145" s="299" t="s">
        <v>477</v>
      </c>
      <c r="C145" s="418" t="s">
        <v>686</v>
      </c>
      <c r="D145" s="413">
        <v>28457.44</v>
      </c>
      <c r="E145" s="420" t="s">
        <v>629</v>
      </c>
      <c r="F145" s="328" t="s">
        <v>474</v>
      </c>
      <c r="G145" s="326"/>
      <c r="H145" s="301">
        <v>1899.54</v>
      </c>
      <c r="I145" s="301">
        <v>2532.72</v>
      </c>
      <c r="J145" s="301">
        <v>2532.72</v>
      </c>
      <c r="K145" s="301">
        <v>2532.72</v>
      </c>
      <c r="L145" s="301">
        <v>2532.72</v>
      </c>
      <c r="M145" s="301">
        <v>2532.72</v>
      </c>
      <c r="N145" s="301">
        <v>2532.72</v>
      </c>
      <c r="O145" s="301">
        <v>2532.72</v>
      </c>
      <c r="P145" s="301">
        <v>2532.72</v>
      </c>
      <c r="Q145" s="301">
        <v>2532.72</v>
      </c>
      <c r="R145" s="301">
        <v>2532.72</v>
      </c>
      <c r="S145" s="301">
        <v>1230.7</v>
      </c>
      <c r="T145" s="327"/>
      <c r="U145" s="327"/>
      <c r="V145" s="304">
        <f t="shared" si="3"/>
        <v>28457.440000000002</v>
      </c>
      <c r="X145" s="298"/>
    </row>
    <row r="146" spans="1:24" s="288" customFormat="1" ht="12.75">
      <c r="A146" s="400"/>
      <c r="B146" s="305" t="s">
        <v>630</v>
      </c>
      <c r="C146" s="419"/>
      <c r="D146" s="414"/>
      <c r="E146" s="421"/>
      <c r="F146" s="307">
        <v>0.0055</v>
      </c>
      <c r="G146" s="308">
        <v>224</v>
      </c>
      <c r="H146" s="308">
        <v>287</v>
      </c>
      <c r="I146" s="308">
        <v>266</v>
      </c>
      <c r="J146" s="308">
        <v>240</v>
      </c>
      <c r="K146" s="308">
        <v>214</v>
      </c>
      <c r="L146" s="308">
        <v>188</v>
      </c>
      <c r="M146" s="308">
        <v>163</v>
      </c>
      <c r="N146" s="308">
        <v>137</v>
      </c>
      <c r="O146" s="308">
        <v>111</v>
      </c>
      <c r="P146" s="308">
        <v>86</v>
      </c>
      <c r="Q146" s="308">
        <v>60</v>
      </c>
      <c r="R146" s="308">
        <v>34</v>
      </c>
      <c r="S146" s="308">
        <v>9</v>
      </c>
      <c r="T146" s="324"/>
      <c r="U146" s="324"/>
      <c r="V146" s="311">
        <f t="shared" si="3"/>
        <v>2019</v>
      </c>
      <c r="X146" s="298"/>
    </row>
    <row r="147" spans="1:24" s="288" customFormat="1" ht="12.75" customHeight="1">
      <c r="A147" s="399">
        <v>71</v>
      </c>
      <c r="B147" s="299" t="s">
        <v>477</v>
      </c>
      <c r="C147" s="312" t="s">
        <v>631</v>
      </c>
      <c r="D147" s="413">
        <v>3434863.47</v>
      </c>
      <c r="E147" s="420" t="s">
        <v>632</v>
      </c>
      <c r="F147" s="328" t="s">
        <v>474</v>
      </c>
      <c r="G147" s="326"/>
      <c r="H147" s="326"/>
      <c r="I147" s="326"/>
      <c r="J147" s="326"/>
      <c r="K147" s="301">
        <v>287772.96</v>
      </c>
      <c r="L147" s="301">
        <v>287772.96</v>
      </c>
      <c r="M147" s="301">
        <v>287772.96</v>
      </c>
      <c r="N147" s="301">
        <v>287772.96</v>
      </c>
      <c r="O147" s="301">
        <v>287772.96</v>
      </c>
      <c r="P147" s="301">
        <v>287772.96</v>
      </c>
      <c r="Q147" s="301">
        <v>287772.96</v>
      </c>
      <c r="R147" s="301">
        <v>287772.96</v>
      </c>
      <c r="S147" s="301">
        <v>215801.99</v>
      </c>
      <c r="T147" s="327"/>
      <c r="U147" s="327"/>
      <c r="V147" s="304">
        <f t="shared" si="3"/>
        <v>2517985.67</v>
      </c>
      <c r="X147" s="298"/>
    </row>
    <row r="148" spans="1:24" s="288" customFormat="1" ht="12.75">
      <c r="A148" s="400"/>
      <c r="B148" s="305" t="s">
        <v>633</v>
      </c>
      <c r="C148" s="314"/>
      <c r="D148" s="414"/>
      <c r="E148" s="421"/>
      <c r="F148" s="307">
        <v>0.00868</v>
      </c>
      <c r="G148" s="308">
        <v>18260</v>
      </c>
      <c r="H148" s="308">
        <v>25530</v>
      </c>
      <c r="I148" s="308">
        <v>25600</v>
      </c>
      <c r="J148" s="308">
        <v>25530</v>
      </c>
      <c r="K148" s="308">
        <v>24918</v>
      </c>
      <c r="L148" s="308">
        <v>22162</v>
      </c>
      <c r="M148" s="308">
        <v>19299</v>
      </c>
      <c r="N148" s="308">
        <v>16327</v>
      </c>
      <c r="O148" s="308">
        <v>13409</v>
      </c>
      <c r="P148" s="308">
        <v>10492</v>
      </c>
      <c r="Q148" s="308">
        <v>7596</v>
      </c>
      <c r="R148" s="308">
        <v>4656</v>
      </c>
      <c r="S148" s="308">
        <v>1738</v>
      </c>
      <c r="T148" s="324"/>
      <c r="U148" s="324"/>
      <c r="V148" s="311">
        <f t="shared" si="3"/>
        <v>215517</v>
      </c>
      <c r="X148" s="298"/>
    </row>
    <row r="149" spans="1:24" s="288" customFormat="1" ht="12.75" customHeight="1">
      <c r="A149" s="399">
        <v>72</v>
      </c>
      <c r="B149" s="299" t="s">
        <v>477</v>
      </c>
      <c r="C149" s="312" t="s">
        <v>634</v>
      </c>
      <c r="D149" s="413">
        <v>115821.77</v>
      </c>
      <c r="E149" s="420" t="s">
        <v>635</v>
      </c>
      <c r="F149" s="328" t="s">
        <v>474</v>
      </c>
      <c r="G149" s="301">
        <v>5896.39</v>
      </c>
      <c r="H149" s="301">
        <v>5941.92</v>
      </c>
      <c r="I149" s="301">
        <v>5941.92</v>
      </c>
      <c r="J149" s="301">
        <v>5941.92</v>
      </c>
      <c r="K149" s="301">
        <v>5941.92</v>
      </c>
      <c r="L149" s="301">
        <v>5941.92</v>
      </c>
      <c r="M149" s="301">
        <v>5941.92</v>
      </c>
      <c r="N149" s="301">
        <v>5941.92</v>
      </c>
      <c r="O149" s="301">
        <v>5941.92</v>
      </c>
      <c r="P149" s="301">
        <v>5941.92</v>
      </c>
      <c r="Q149" s="301">
        <v>5941.92</v>
      </c>
      <c r="R149" s="301">
        <v>5941.92</v>
      </c>
      <c r="S149" s="301">
        <v>5941.92</v>
      </c>
      <c r="T149" s="301">
        <v>5941.92</v>
      </c>
      <c r="U149" s="319">
        <f>5941.92*5+2970.82</f>
        <v>32680.42</v>
      </c>
      <c r="V149" s="304">
        <f t="shared" si="3"/>
        <v>115821.76999999999</v>
      </c>
      <c r="X149" s="298"/>
    </row>
    <row r="150" spans="1:24" s="288" customFormat="1" ht="12.75">
      <c r="A150" s="400"/>
      <c r="B150" s="305" t="s">
        <v>636</v>
      </c>
      <c r="C150" s="314" t="s">
        <v>687</v>
      </c>
      <c r="D150" s="414"/>
      <c r="E150" s="421"/>
      <c r="F150" s="307">
        <v>0.0055</v>
      </c>
      <c r="G150" s="308">
        <v>899</v>
      </c>
      <c r="H150" s="308">
        <v>1105</v>
      </c>
      <c r="I150" s="308">
        <v>1048</v>
      </c>
      <c r="J150" s="308">
        <v>985</v>
      </c>
      <c r="K150" s="308">
        <v>925</v>
      </c>
      <c r="L150" s="308">
        <v>864</v>
      </c>
      <c r="M150" s="308">
        <v>806</v>
      </c>
      <c r="N150" s="308">
        <v>744</v>
      </c>
      <c r="O150" s="308">
        <v>684</v>
      </c>
      <c r="P150" s="308">
        <v>623</v>
      </c>
      <c r="Q150" s="308">
        <v>565</v>
      </c>
      <c r="R150" s="308">
        <v>503</v>
      </c>
      <c r="S150" s="308">
        <v>443</v>
      </c>
      <c r="T150" s="323">
        <v>382</v>
      </c>
      <c r="U150" s="323">
        <f>323+262+202+141+81+21</f>
        <v>1030</v>
      </c>
      <c r="V150" s="311">
        <f t="shared" si="3"/>
        <v>11606</v>
      </c>
      <c r="X150" s="298"/>
    </row>
    <row r="151" spans="1:24" s="288" customFormat="1" ht="12.75" customHeight="1">
      <c r="A151" s="399">
        <v>73</v>
      </c>
      <c r="B151" s="299" t="s">
        <v>477</v>
      </c>
      <c r="C151" s="312" t="s">
        <v>637</v>
      </c>
      <c r="D151" s="413">
        <v>202299.65</v>
      </c>
      <c r="E151" s="420" t="s">
        <v>638</v>
      </c>
      <c r="F151" s="328" t="s">
        <v>474</v>
      </c>
      <c r="G151" s="326"/>
      <c r="H151" s="326"/>
      <c r="I151" s="326"/>
      <c r="J151" s="326"/>
      <c r="K151" s="326"/>
      <c r="L151" s="326"/>
      <c r="M151" s="301">
        <v>350.61</v>
      </c>
      <c r="N151" s="301">
        <v>11400.04</v>
      </c>
      <c r="O151" s="301">
        <v>11400.04</v>
      </c>
      <c r="P151" s="301">
        <v>11400.04</v>
      </c>
      <c r="Q151" s="301">
        <v>11400.04</v>
      </c>
      <c r="R151" s="301">
        <v>11400.04</v>
      </c>
      <c r="S151" s="301">
        <v>11400.04</v>
      </c>
      <c r="T151" s="301">
        <v>11400.04</v>
      </c>
      <c r="U151" s="319">
        <f>11400.04*5+8550.15</f>
        <v>65550.35</v>
      </c>
      <c r="V151" s="304">
        <f t="shared" si="3"/>
        <v>145701.24000000002</v>
      </c>
      <c r="X151" s="298"/>
    </row>
    <row r="152" spans="1:24" s="288" customFormat="1" ht="12.75">
      <c r="A152" s="400"/>
      <c r="B152" s="305" t="s">
        <v>639</v>
      </c>
      <c r="C152" s="314"/>
      <c r="D152" s="414"/>
      <c r="E152" s="421"/>
      <c r="F152" s="307">
        <v>0.0055</v>
      </c>
      <c r="G152" s="308">
        <v>1050</v>
      </c>
      <c r="H152" s="308">
        <v>1477</v>
      </c>
      <c r="I152" s="308">
        <v>1481</v>
      </c>
      <c r="J152" s="308">
        <v>1477</v>
      </c>
      <c r="K152" s="308">
        <v>1477</v>
      </c>
      <c r="L152" s="308">
        <v>1477</v>
      </c>
      <c r="M152" s="308">
        <v>1481</v>
      </c>
      <c r="N152" s="308">
        <v>1450</v>
      </c>
      <c r="O152" s="308">
        <v>1340</v>
      </c>
      <c r="P152" s="308">
        <v>1225</v>
      </c>
      <c r="Q152" s="308">
        <v>1112</v>
      </c>
      <c r="R152" s="308">
        <v>994</v>
      </c>
      <c r="S152" s="308">
        <v>878</v>
      </c>
      <c r="T152" s="323">
        <v>762</v>
      </c>
      <c r="U152" s="323">
        <f>649+531+416+300+185+69</f>
        <v>2150</v>
      </c>
      <c r="V152" s="311">
        <f t="shared" si="3"/>
        <v>19831</v>
      </c>
      <c r="X152" s="298"/>
    </row>
    <row r="153" spans="1:24" s="288" customFormat="1" ht="12.75" customHeight="1">
      <c r="A153" s="399">
        <v>74</v>
      </c>
      <c r="B153" s="299" t="s">
        <v>477</v>
      </c>
      <c r="C153" s="418" t="s">
        <v>640</v>
      </c>
      <c r="D153" s="413">
        <v>836736.84</v>
      </c>
      <c r="E153" s="420" t="s">
        <v>641</v>
      </c>
      <c r="F153" s="328" t="s">
        <v>474</v>
      </c>
      <c r="G153" s="326"/>
      <c r="H153" s="326"/>
      <c r="I153" s="301">
        <v>24218.71</v>
      </c>
      <c r="J153" s="301">
        <v>48508.56</v>
      </c>
      <c r="K153" s="301">
        <v>48508.56</v>
      </c>
      <c r="L153" s="301">
        <v>48508.56</v>
      </c>
      <c r="M153" s="301">
        <v>48508.56</v>
      </c>
      <c r="N153" s="301">
        <v>48508.56</v>
      </c>
      <c r="O153" s="301">
        <v>48508.56</v>
      </c>
      <c r="P153" s="301">
        <v>48508.56</v>
      </c>
      <c r="Q153" s="301">
        <v>48508.56</v>
      </c>
      <c r="R153" s="301">
        <v>48508.56</v>
      </c>
      <c r="S153" s="301">
        <v>48508.56</v>
      </c>
      <c r="T153" s="301">
        <v>48508.56</v>
      </c>
      <c r="U153" s="319">
        <v>278923.97</v>
      </c>
      <c r="V153" s="304">
        <f t="shared" si="3"/>
        <v>836736.84</v>
      </c>
      <c r="X153" s="298"/>
    </row>
    <row r="154" spans="1:24" s="288" customFormat="1" ht="12.75">
      <c r="A154" s="400"/>
      <c r="B154" s="305" t="s">
        <v>642</v>
      </c>
      <c r="C154" s="419"/>
      <c r="D154" s="414"/>
      <c r="E154" s="421"/>
      <c r="F154" s="307">
        <v>0.00548</v>
      </c>
      <c r="G154" s="308">
        <v>5628</v>
      </c>
      <c r="H154" s="308">
        <v>8484</v>
      </c>
      <c r="I154" s="308">
        <v>8493</v>
      </c>
      <c r="J154" s="308">
        <v>8162</v>
      </c>
      <c r="K154" s="308">
        <v>7670</v>
      </c>
      <c r="L154" s="308">
        <v>7179</v>
      </c>
      <c r="M154" s="308">
        <v>6705</v>
      </c>
      <c r="N154" s="308">
        <v>6195</v>
      </c>
      <c r="O154" s="308">
        <v>5703</v>
      </c>
      <c r="P154" s="308">
        <v>5211</v>
      </c>
      <c r="Q154" s="308">
        <v>4733</v>
      </c>
      <c r="R154" s="308">
        <v>4228</v>
      </c>
      <c r="S154" s="308">
        <v>3736</v>
      </c>
      <c r="T154" s="323">
        <v>3244</v>
      </c>
      <c r="U154" s="323">
        <f>2760+2260+1769+1277+787+293</f>
        <v>9146</v>
      </c>
      <c r="V154" s="311">
        <f t="shared" si="3"/>
        <v>94517</v>
      </c>
      <c r="X154" s="298"/>
    </row>
    <row r="155" spans="1:24" s="288" customFormat="1" ht="12.75" customHeight="1">
      <c r="A155" s="399">
        <v>75</v>
      </c>
      <c r="B155" s="299" t="s">
        <v>477</v>
      </c>
      <c r="C155" s="418" t="s">
        <v>643</v>
      </c>
      <c r="D155" s="413">
        <v>375727.8</v>
      </c>
      <c r="E155" s="420" t="s">
        <v>644</v>
      </c>
      <c r="F155" s="328" t="s">
        <v>474</v>
      </c>
      <c r="G155" s="326"/>
      <c r="H155" s="326"/>
      <c r="I155" s="326"/>
      <c r="J155" s="326"/>
      <c r="K155" s="326"/>
      <c r="L155" s="326"/>
      <c r="M155" s="326"/>
      <c r="N155" s="301">
        <v>8153.54</v>
      </c>
      <c r="O155" s="301">
        <v>21781.32</v>
      </c>
      <c r="P155" s="301">
        <v>21781.32</v>
      </c>
      <c r="Q155" s="301">
        <v>21781.32</v>
      </c>
      <c r="R155" s="301">
        <v>21781.32</v>
      </c>
      <c r="S155" s="301">
        <v>21781.32</v>
      </c>
      <c r="T155" s="301">
        <v>21781.32</v>
      </c>
      <c r="U155" s="319">
        <f>T155*5+16336.01</f>
        <v>125242.61</v>
      </c>
      <c r="V155" s="304">
        <f t="shared" si="3"/>
        <v>264084.07</v>
      </c>
      <c r="X155" s="298"/>
    </row>
    <row r="156" spans="1:24" s="288" customFormat="1" ht="12.75">
      <c r="A156" s="400"/>
      <c r="B156" s="305" t="s">
        <v>645</v>
      </c>
      <c r="C156" s="419"/>
      <c r="D156" s="414"/>
      <c r="E156" s="421"/>
      <c r="F156" s="307">
        <v>0.00548</v>
      </c>
      <c r="G156" s="308">
        <v>1910</v>
      </c>
      <c r="H156" s="308">
        <v>2678</v>
      </c>
      <c r="I156" s="308">
        <v>2685</v>
      </c>
      <c r="J156" s="308">
        <v>2678</v>
      </c>
      <c r="K156" s="308">
        <v>2678</v>
      </c>
      <c r="L156" s="308">
        <v>2678</v>
      </c>
      <c r="M156" s="308">
        <v>2685</v>
      </c>
      <c r="N156" s="308">
        <v>2677</v>
      </c>
      <c r="O156" s="308">
        <v>2561</v>
      </c>
      <c r="P156" s="308">
        <v>2340</v>
      </c>
      <c r="Q156" s="308">
        <v>2125</v>
      </c>
      <c r="R156" s="308">
        <v>1890</v>
      </c>
      <c r="S156" s="308">
        <v>1677</v>
      </c>
      <c r="T156" s="323">
        <v>1457</v>
      </c>
      <c r="U156" s="323">
        <f>1239+1015+794+573+353+132</f>
        <v>4106</v>
      </c>
      <c r="V156" s="311">
        <f t="shared" si="3"/>
        <v>36825</v>
      </c>
      <c r="X156" s="298"/>
    </row>
    <row r="157" spans="1:24" s="288" customFormat="1" ht="12.75" customHeight="1">
      <c r="A157" s="399">
        <v>76</v>
      </c>
      <c r="B157" s="299" t="s">
        <v>477</v>
      </c>
      <c r="C157" s="418" t="s">
        <v>646</v>
      </c>
      <c r="D157" s="413">
        <v>284574.36</v>
      </c>
      <c r="E157" s="420" t="s">
        <v>647</v>
      </c>
      <c r="F157" s="328" t="s">
        <v>474</v>
      </c>
      <c r="G157" s="326"/>
      <c r="H157" s="326"/>
      <c r="I157" s="301">
        <v>8205.71</v>
      </c>
      <c r="J157" s="301">
        <v>16499.64</v>
      </c>
      <c r="K157" s="301">
        <v>16499.64</v>
      </c>
      <c r="L157" s="301">
        <v>16499.64</v>
      </c>
      <c r="M157" s="301">
        <v>16499.64</v>
      </c>
      <c r="N157" s="301">
        <v>16499.64</v>
      </c>
      <c r="O157" s="301">
        <v>16499.64</v>
      </c>
      <c r="P157" s="301">
        <v>16499.64</v>
      </c>
      <c r="Q157" s="301">
        <v>16499.64</v>
      </c>
      <c r="R157" s="301">
        <v>16499.64</v>
      </c>
      <c r="S157" s="301">
        <v>16499.64</v>
      </c>
      <c r="T157" s="301">
        <v>16499.64</v>
      </c>
      <c r="U157" s="319">
        <f>T157*5+12374.41</f>
        <v>94872.61</v>
      </c>
      <c r="V157" s="304">
        <f t="shared" si="3"/>
        <v>284574.36</v>
      </c>
      <c r="X157" s="298"/>
    </row>
    <row r="158" spans="1:24" s="288" customFormat="1" ht="12.75">
      <c r="A158" s="400"/>
      <c r="B158" s="305" t="s">
        <v>648</v>
      </c>
      <c r="C158" s="419"/>
      <c r="D158" s="414"/>
      <c r="E158" s="421"/>
      <c r="F158" s="307">
        <v>0.00548</v>
      </c>
      <c r="G158" s="308">
        <v>1910</v>
      </c>
      <c r="H158" s="308">
        <v>2885</v>
      </c>
      <c r="I158" s="308">
        <v>2889</v>
      </c>
      <c r="J158" s="308">
        <v>2776</v>
      </c>
      <c r="K158" s="308">
        <v>2609</v>
      </c>
      <c r="L158" s="308">
        <v>2442</v>
      </c>
      <c r="M158" s="308">
        <v>2281</v>
      </c>
      <c r="N158" s="308">
        <v>2107</v>
      </c>
      <c r="O158" s="308">
        <v>1940</v>
      </c>
      <c r="P158" s="308">
        <v>1773</v>
      </c>
      <c r="Q158" s="308">
        <v>1610</v>
      </c>
      <c r="R158" s="308">
        <v>1438</v>
      </c>
      <c r="S158" s="308">
        <v>1271</v>
      </c>
      <c r="T158" s="323">
        <v>1103</v>
      </c>
      <c r="U158" s="323">
        <f>100+268+434+602+769+939</f>
        <v>3112</v>
      </c>
      <c r="V158" s="311">
        <f t="shared" si="3"/>
        <v>32146</v>
      </c>
      <c r="X158" s="298"/>
    </row>
    <row r="159" spans="1:24" s="288" customFormat="1" ht="12.75" customHeight="1">
      <c r="A159" s="399">
        <v>77</v>
      </c>
      <c r="B159" s="299" t="s">
        <v>477</v>
      </c>
      <c r="C159" s="418" t="s">
        <v>684</v>
      </c>
      <c r="D159" s="413">
        <v>2264527.52</v>
      </c>
      <c r="E159" s="420" t="s">
        <v>658</v>
      </c>
      <c r="F159" s="328" t="s">
        <v>474</v>
      </c>
      <c r="G159" s="326"/>
      <c r="H159" s="326"/>
      <c r="I159" s="301">
        <v>64699.41</v>
      </c>
      <c r="J159" s="301">
        <v>129401.64</v>
      </c>
      <c r="K159" s="301">
        <v>129401.64</v>
      </c>
      <c r="L159" s="301">
        <v>129401.64</v>
      </c>
      <c r="M159" s="301">
        <v>129401.64</v>
      </c>
      <c r="N159" s="301">
        <v>129401.64</v>
      </c>
      <c r="O159" s="301">
        <v>129401.64</v>
      </c>
      <c r="P159" s="301">
        <v>129401.64</v>
      </c>
      <c r="Q159" s="301">
        <v>129401.64</v>
      </c>
      <c r="R159" s="301">
        <v>129401.64</v>
      </c>
      <c r="S159" s="301">
        <v>129401.64</v>
      </c>
      <c r="T159" s="301">
        <v>129401.64</v>
      </c>
      <c r="U159" s="319">
        <f>T159*5+129401.87</f>
        <v>776410.07</v>
      </c>
      <c r="V159" s="304">
        <f t="shared" si="3"/>
        <v>2264527.5199999996</v>
      </c>
      <c r="X159" s="298"/>
    </row>
    <row r="160" spans="1:24" s="288" customFormat="1" ht="24.75" customHeight="1">
      <c r="A160" s="400"/>
      <c r="B160" s="305" t="s">
        <v>657</v>
      </c>
      <c r="C160" s="419"/>
      <c r="D160" s="414"/>
      <c r="E160" s="421"/>
      <c r="F160" s="307">
        <v>0.00636</v>
      </c>
      <c r="G160" s="320">
        <v>16709</v>
      </c>
      <c r="H160" s="320">
        <v>22960</v>
      </c>
      <c r="I160" s="320">
        <v>22987</v>
      </c>
      <c r="J160" s="320">
        <v>22102</v>
      </c>
      <c r="K160" s="320">
        <v>20789</v>
      </c>
      <c r="L160" s="320">
        <v>19478</v>
      </c>
      <c r="M160" s="320">
        <v>18216</v>
      </c>
      <c r="N160" s="320">
        <v>16854</v>
      </c>
      <c r="O160" s="320">
        <v>15542</v>
      </c>
      <c r="P160" s="320">
        <v>14230</v>
      </c>
      <c r="Q160" s="320">
        <v>12954</v>
      </c>
      <c r="R160" s="320">
        <v>11606</v>
      </c>
      <c r="S160" s="320">
        <v>10294</v>
      </c>
      <c r="T160" s="324">
        <v>8982</v>
      </c>
      <c r="U160" s="324">
        <f>7691+6358+5046+3734+2429+1110+73</f>
        <v>26441</v>
      </c>
      <c r="V160" s="311">
        <f t="shared" si="3"/>
        <v>260144</v>
      </c>
      <c r="X160" s="298"/>
    </row>
    <row r="161" spans="1:24" s="288" customFormat="1" ht="12.75" customHeight="1">
      <c r="A161" s="399">
        <v>78</v>
      </c>
      <c r="B161" s="299" t="s">
        <v>477</v>
      </c>
      <c r="C161" s="418" t="s">
        <v>688</v>
      </c>
      <c r="D161" s="413">
        <v>3433609</v>
      </c>
      <c r="E161" s="416"/>
      <c r="F161" s="328" t="s">
        <v>474</v>
      </c>
      <c r="G161" s="326"/>
      <c r="H161" s="326"/>
      <c r="I161" s="326"/>
      <c r="J161" s="319">
        <v>202568</v>
      </c>
      <c r="K161" s="319">
        <v>202568</v>
      </c>
      <c r="L161" s="319">
        <v>202568</v>
      </c>
      <c r="M161" s="319">
        <v>202568</v>
      </c>
      <c r="N161" s="319">
        <v>202568</v>
      </c>
      <c r="O161" s="319">
        <v>202568</v>
      </c>
      <c r="P161" s="319">
        <v>202568</v>
      </c>
      <c r="Q161" s="319">
        <v>202568</v>
      </c>
      <c r="R161" s="319">
        <v>202568</v>
      </c>
      <c r="S161" s="319">
        <v>202568</v>
      </c>
      <c r="T161" s="319">
        <v>202568</v>
      </c>
      <c r="U161" s="319">
        <v>1215361</v>
      </c>
      <c r="V161" s="304">
        <f t="shared" si="3"/>
        <v>3443609</v>
      </c>
      <c r="X161" s="298"/>
    </row>
    <row r="162" spans="1:24" s="288" customFormat="1" ht="12.75">
      <c r="A162" s="400"/>
      <c r="B162" s="305"/>
      <c r="C162" s="419"/>
      <c r="D162" s="414"/>
      <c r="E162" s="417"/>
      <c r="F162" s="307">
        <v>0.01</v>
      </c>
      <c r="G162" s="308">
        <v>27166</v>
      </c>
      <c r="H162" s="308">
        <v>34914</v>
      </c>
      <c r="I162" s="308">
        <v>35010</v>
      </c>
      <c r="J162" s="308">
        <v>34484</v>
      </c>
      <c r="K162" s="308">
        <v>32544</v>
      </c>
      <c r="L162" s="308">
        <v>30490</v>
      </c>
      <c r="M162" s="308">
        <v>28515</v>
      </c>
      <c r="N162" s="308">
        <v>26383</v>
      </c>
      <c r="O162" s="308">
        <v>24329</v>
      </c>
      <c r="P162" s="308">
        <v>22275</v>
      </c>
      <c r="Q162" s="308">
        <v>20277</v>
      </c>
      <c r="R162" s="308">
        <v>18167</v>
      </c>
      <c r="S162" s="308">
        <v>16114</v>
      </c>
      <c r="T162" s="323">
        <v>14060</v>
      </c>
      <c r="U162" s="323">
        <v>41387</v>
      </c>
      <c r="V162" s="311">
        <f t="shared" si="3"/>
        <v>406115</v>
      </c>
      <c r="X162" s="298"/>
    </row>
    <row r="163" spans="1:24" s="288" customFormat="1" ht="12.75" customHeight="1" hidden="1">
      <c r="A163" s="329"/>
      <c r="B163" s="299" t="s">
        <v>477</v>
      </c>
      <c r="C163" s="418" t="s">
        <v>649</v>
      </c>
      <c r="D163" s="413"/>
      <c r="E163" s="416"/>
      <c r="F163" s="328" t="s">
        <v>474</v>
      </c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30"/>
      <c r="U163" s="330"/>
      <c r="V163" s="304">
        <f t="shared" si="3"/>
        <v>0</v>
      </c>
      <c r="X163" s="298"/>
    </row>
    <row r="164" spans="1:24" s="288" customFormat="1" ht="12.75" hidden="1">
      <c r="A164" s="329">
        <v>76</v>
      </c>
      <c r="B164" s="305"/>
      <c r="C164" s="419"/>
      <c r="D164" s="414"/>
      <c r="E164" s="417"/>
      <c r="F164" s="307">
        <v>0.0055</v>
      </c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8"/>
      <c r="U164" s="318"/>
      <c r="V164" s="311">
        <f t="shared" si="3"/>
        <v>0</v>
      </c>
      <c r="X164" s="298"/>
    </row>
    <row r="165" spans="1:23" ht="12.75">
      <c r="A165" s="331"/>
      <c r="B165" s="422" t="s">
        <v>650</v>
      </c>
      <c r="C165" s="423"/>
      <c r="D165" s="423"/>
      <c r="E165" s="424"/>
      <c r="F165" s="332" t="s">
        <v>651</v>
      </c>
      <c r="G165" s="333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161)</f>
        <v>2757223.6500000004</v>
      </c>
      <c r="H165" s="333">
        <f aca="true" t="shared" si="4" ref="H165:U166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161)</f>
        <v>4605294.720000001</v>
      </c>
      <c r="I165" s="333">
        <f t="shared" si="4"/>
        <v>4631502.430000002</v>
      </c>
      <c r="J165" s="333">
        <f t="shared" si="4"/>
        <v>4806589.12</v>
      </c>
      <c r="K165" s="333">
        <f t="shared" si="4"/>
        <v>5356186.9799999995</v>
      </c>
      <c r="L165" s="333">
        <f t="shared" si="4"/>
        <v>5356186.9799999995</v>
      </c>
      <c r="M165" s="333">
        <f t="shared" si="4"/>
        <v>5376052.649999999</v>
      </c>
      <c r="N165" s="333">
        <f t="shared" si="4"/>
        <v>5292107.370000001</v>
      </c>
      <c r="O165" s="333">
        <f t="shared" si="4"/>
        <v>4392424.590000002</v>
      </c>
      <c r="P165" s="333">
        <f t="shared" si="4"/>
        <v>4006132.760000001</v>
      </c>
      <c r="Q165" s="333">
        <f t="shared" si="4"/>
        <v>3680775.5799999996</v>
      </c>
      <c r="R165" s="333">
        <f t="shared" si="4"/>
        <v>3517214.3200000003</v>
      </c>
      <c r="S165" s="333">
        <f t="shared" si="4"/>
        <v>3176350.62</v>
      </c>
      <c r="T165" s="333">
        <f t="shared" si="4"/>
        <v>1341961.96</v>
      </c>
      <c r="U165" s="333">
        <f t="shared" si="4"/>
        <v>3164892.0100000002</v>
      </c>
      <c r="V165" s="360">
        <f>SUM(G165:U165)</f>
        <v>61460895.74</v>
      </c>
      <c r="W165" s="364"/>
    </row>
    <row r="166" spans="1:22" ht="13.5" thickBot="1">
      <c r="A166" s="334"/>
      <c r="B166" s="425" t="s">
        <v>652</v>
      </c>
      <c r="C166" s="425"/>
      <c r="D166" s="425"/>
      <c r="E166" s="425"/>
      <c r="F166" s="335" t="s">
        <v>651</v>
      </c>
      <c r="G166" s="336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162)+351353</f>
        <v>882180.87</v>
      </c>
      <c r="H166" s="336">
        <f t="shared" si="4"/>
        <v>588531</v>
      </c>
      <c r="I166" s="336">
        <f t="shared" si="4"/>
        <v>543550</v>
      </c>
      <c r="J166" s="336">
        <f t="shared" si="4"/>
        <v>494425</v>
      </c>
      <c r="K166" s="336">
        <f t="shared" si="4"/>
        <v>444639</v>
      </c>
      <c r="L166" s="336">
        <f t="shared" si="4"/>
        <v>390643</v>
      </c>
      <c r="M166" s="336">
        <f t="shared" si="4"/>
        <v>337265</v>
      </c>
      <c r="N166" s="336">
        <f t="shared" si="4"/>
        <v>281960</v>
      </c>
      <c r="O166" s="336">
        <f t="shared" si="4"/>
        <v>229210</v>
      </c>
      <c r="P166" s="336">
        <f t="shared" si="4"/>
        <v>185572</v>
      </c>
      <c r="Q166" s="336">
        <f t="shared" si="4"/>
        <v>145935</v>
      </c>
      <c r="R166" s="336">
        <f t="shared" si="4"/>
        <v>108476</v>
      </c>
      <c r="S166" s="336">
        <f t="shared" si="4"/>
        <v>73018</v>
      </c>
      <c r="T166" s="336">
        <f t="shared" si="4"/>
        <v>43393</v>
      </c>
      <c r="U166" s="336">
        <f t="shared" si="4"/>
        <v>94084</v>
      </c>
      <c r="V166" s="362">
        <f>SUM(G166:U166)</f>
        <v>4842881.87</v>
      </c>
    </row>
    <row r="167" spans="1:22" ht="13.5" thickTop="1">
      <c r="A167" s="337"/>
      <c r="B167" s="426" t="s">
        <v>653</v>
      </c>
      <c r="C167" s="427"/>
      <c r="D167" s="427"/>
      <c r="E167" s="427"/>
      <c r="F167" s="338" t="s">
        <v>651</v>
      </c>
      <c r="G167" s="356">
        <f aca="true" t="shared" si="5" ref="G167:V167">SUM(G165:G166)</f>
        <v>3639404.5200000005</v>
      </c>
      <c r="H167" s="356">
        <f t="shared" si="5"/>
        <v>5193825.720000001</v>
      </c>
      <c r="I167" s="356">
        <f t="shared" si="5"/>
        <v>5175052.430000002</v>
      </c>
      <c r="J167" s="356">
        <f t="shared" si="5"/>
        <v>5301014.12</v>
      </c>
      <c r="K167" s="356">
        <f t="shared" si="5"/>
        <v>5800825.9799999995</v>
      </c>
      <c r="L167" s="356">
        <f t="shared" si="5"/>
        <v>5746829.9799999995</v>
      </c>
      <c r="M167" s="356">
        <f t="shared" si="5"/>
        <v>5713317.649999999</v>
      </c>
      <c r="N167" s="356">
        <f t="shared" si="5"/>
        <v>5574067.370000001</v>
      </c>
      <c r="O167" s="356">
        <f t="shared" si="5"/>
        <v>4621634.590000002</v>
      </c>
      <c r="P167" s="356">
        <f t="shared" si="5"/>
        <v>4191704.760000001</v>
      </c>
      <c r="Q167" s="356">
        <f t="shared" si="5"/>
        <v>3826710.5799999996</v>
      </c>
      <c r="R167" s="356">
        <f t="shared" si="5"/>
        <v>3625690.3200000003</v>
      </c>
      <c r="S167" s="356">
        <f t="shared" si="5"/>
        <v>3249368.62</v>
      </c>
      <c r="T167" s="356">
        <f t="shared" si="5"/>
        <v>1385354.96</v>
      </c>
      <c r="U167" s="356">
        <f t="shared" si="5"/>
        <v>3258976.0100000002</v>
      </c>
      <c r="V167" s="363">
        <f t="shared" si="5"/>
        <v>66303777.61</v>
      </c>
    </row>
    <row r="168" spans="1:22" ht="12.75">
      <c r="A168" s="339"/>
      <c r="B168" s="428" t="s">
        <v>654</v>
      </c>
      <c r="C168" s="429"/>
      <c r="D168" s="340" t="s">
        <v>655</v>
      </c>
      <c r="E168" s="341" t="e">
        <f>'1.pielikums_ 2014'!C10+'1.pielikums_ 2014'!C19+'1.pielikums_ 2014'!C57-#REF!</f>
        <v>#REF!</v>
      </c>
      <c r="F168" s="342" t="s">
        <v>656</v>
      </c>
      <c r="G168" s="343" t="e">
        <f>SUM(G167/$E$168)</f>
        <v>#REF!</v>
      </c>
      <c r="H168" s="343" t="e">
        <f>SUM(H167/$E$168)</f>
        <v>#REF!</v>
      </c>
      <c r="I168" s="343" t="e">
        <f>SUM(I167/$E$168)</f>
        <v>#REF!</v>
      </c>
      <c r="J168" s="343" t="e">
        <f>SUM(J167/$E$168)</f>
        <v>#REF!</v>
      </c>
      <c r="K168" s="343" t="e">
        <f aca="true" t="shared" si="6" ref="K168:V168">SUM(K167/$E$168)</f>
        <v>#REF!</v>
      </c>
      <c r="L168" s="343" t="e">
        <f t="shared" si="6"/>
        <v>#REF!</v>
      </c>
      <c r="M168" s="343" t="e">
        <f t="shared" si="6"/>
        <v>#REF!</v>
      </c>
      <c r="N168" s="343" t="e">
        <f t="shared" si="6"/>
        <v>#REF!</v>
      </c>
      <c r="O168" s="343" t="e">
        <f t="shared" si="6"/>
        <v>#REF!</v>
      </c>
      <c r="P168" s="343" t="e">
        <f t="shared" si="6"/>
        <v>#REF!</v>
      </c>
      <c r="Q168" s="343" t="e">
        <f t="shared" si="6"/>
        <v>#REF!</v>
      </c>
      <c r="R168" s="343" t="e">
        <f t="shared" si="6"/>
        <v>#REF!</v>
      </c>
      <c r="S168" s="343" t="e">
        <f t="shared" si="6"/>
        <v>#REF!</v>
      </c>
      <c r="T168" s="343"/>
      <c r="U168" s="343" t="e">
        <f t="shared" si="6"/>
        <v>#REF!</v>
      </c>
      <c r="V168" s="361" t="e">
        <f t="shared" si="6"/>
        <v>#REF!</v>
      </c>
    </row>
    <row r="170" spans="12:22" ht="18.75">
      <c r="L170" s="344" t="s">
        <v>28</v>
      </c>
      <c r="M170" s="345"/>
      <c r="N170" s="346"/>
      <c r="V170" s="347" t="s">
        <v>86</v>
      </c>
    </row>
    <row r="171" spans="1:22" ht="22.5" customHeight="1">
      <c r="A171" s="348"/>
      <c r="B171" s="430"/>
      <c r="C171" s="430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</row>
    <row r="172" spans="1:4" ht="25.5" customHeight="1">
      <c r="A172" s="350"/>
      <c r="B172" s="431"/>
      <c r="C172" s="431"/>
      <c r="D172" s="351"/>
    </row>
    <row r="173" spans="1:7" ht="12.75">
      <c r="A173" s="352"/>
      <c r="B173" s="433"/>
      <c r="C173" s="433"/>
      <c r="D173" s="351"/>
      <c r="G173" s="349"/>
    </row>
    <row r="174" spans="1:4" ht="26.25" customHeight="1">
      <c r="A174" s="352"/>
      <c r="B174" s="434"/>
      <c r="C174" s="434"/>
      <c r="D174" s="351"/>
    </row>
    <row r="175" spans="1:4" ht="12.75">
      <c r="A175" s="352"/>
      <c r="B175" s="435"/>
      <c r="C175" s="435"/>
      <c r="D175" s="351"/>
    </row>
    <row r="176" spans="1:4" ht="12.75" customHeight="1">
      <c r="A176" s="352"/>
      <c r="B176" s="435"/>
      <c r="C176" s="435"/>
      <c r="D176" s="351"/>
    </row>
    <row r="177" spans="1:4" ht="12.75">
      <c r="A177" s="352"/>
      <c r="B177" s="435"/>
      <c r="C177" s="435"/>
      <c r="D177" s="351"/>
    </row>
    <row r="178" spans="1:4" ht="39" customHeight="1">
      <c r="A178" s="352"/>
      <c r="B178" s="436"/>
      <c r="C178" s="436"/>
      <c r="D178" s="351"/>
    </row>
    <row r="179" spans="1:4" ht="12.75">
      <c r="A179" s="352"/>
      <c r="B179" s="432"/>
      <c r="C179" s="432"/>
      <c r="D179" s="353"/>
    </row>
    <row r="180" spans="2:4" ht="12.75">
      <c r="B180" s="325"/>
      <c r="C180" s="354"/>
      <c r="D180" s="355"/>
    </row>
    <row r="181" spans="2:4" ht="12.75">
      <c r="B181" s="325"/>
      <c r="C181" s="354"/>
      <c r="D181" s="355"/>
    </row>
  </sheetData>
  <sheetProtection/>
  <mergeCells count="280">
    <mergeCell ref="B179:C179"/>
    <mergeCell ref="B173:C173"/>
    <mergeCell ref="B174:C174"/>
    <mergeCell ref="B175:C175"/>
    <mergeCell ref="B176:C176"/>
    <mergeCell ref="B177:C177"/>
    <mergeCell ref="B178:C178"/>
    <mergeCell ref="B165:E165"/>
    <mergeCell ref="B166:E166"/>
    <mergeCell ref="B167:E167"/>
    <mergeCell ref="B168:C168"/>
    <mergeCell ref="B171:C171"/>
    <mergeCell ref="B172:C172"/>
    <mergeCell ref="A161:A162"/>
    <mergeCell ref="C161:C162"/>
    <mergeCell ref="D161:D162"/>
    <mergeCell ref="E161:E162"/>
    <mergeCell ref="C163:C164"/>
    <mergeCell ref="D163:D164"/>
    <mergeCell ref="E163:E164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49:A150"/>
    <mergeCell ref="D149:D150"/>
    <mergeCell ref="E149:E150"/>
    <mergeCell ref="A151:A152"/>
    <mergeCell ref="D151:D152"/>
    <mergeCell ref="E151:E152"/>
    <mergeCell ref="A145:A146"/>
    <mergeCell ref="C145:C146"/>
    <mergeCell ref="D145:D146"/>
    <mergeCell ref="E145:E146"/>
    <mergeCell ref="A147:A148"/>
    <mergeCell ref="D147:D148"/>
    <mergeCell ref="E147:E148"/>
    <mergeCell ref="A141:A142"/>
    <mergeCell ref="D141:D142"/>
    <mergeCell ref="E141:E142"/>
    <mergeCell ref="A143:A144"/>
    <mergeCell ref="D143:D144"/>
    <mergeCell ref="E143:E144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1:A102"/>
    <mergeCell ref="C101:C102"/>
    <mergeCell ref="D101:D102"/>
    <mergeCell ref="E101:E102"/>
    <mergeCell ref="A103:A104"/>
    <mergeCell ref="C103:C104"/>
    <mergeCell ref="D103:D104"/>
    <mergeCell ref="E103:E104"/>
    <mergeCell ref="A97:A98"/>
    <mergeCell ref="C97:C98"/>
    <mergeCell ref="D97:D98"/>
    <mergeCell ref="A99:A100"/>
    <mergeCell ref="C99:C100"/>
    <mergeCell ref="D99:D100"/>
    <mergeCell ref="A93:A94"/>
    <mergeCell ref="C93:C94"/>
    <mergeCell ref="D93:D94"/>
    <mergeCell ref="A95:A96"/>
    <mergeCell ref="C95:C96"/>
    <mergeCell ref="D95:D96"/>
    <mergeCell ref="A89:A90"/>
    <mergeCell ref="C89:C90"/>
    <mergeCell ref="D89:D90"/>
    <mergeCell ref="A91:A92"/>
    <mergeCell ref="C91:C92"/>
    <mergeCell ref="D91:D92"/>
    <mergeCell ref="A85:A86"/>
    <mergeCell ref="C85:C86"/>
    <mergeCell ref="D85:D86"/>
    <mergeCell ref="A87:A88"/>
    <mergeCell ref="C87:C88"/>
    <mergeCell ref="D87:D88"/>
    <mergeCell ref="A81:A82"/>
    <mergeCell ref="C81:C82"/>
    <mergeCell ref="D81:D82"/>
    <mergeCell ref="A83:A84"/>
    <mergeCell ref="C83:C84"/>
    <mergeCell ref="D83:D84"/>
    <mergeCell ref="A77:A78"/>
    <mergeCell ref="C77:C78"/>
    <mergeCell ref="D77:D78"/>
    <mergeCell ref="A79:A80"/>
    <mergeCell ref="C79:C80"/>
    <mergeCell ref="D79:D80"/>
    <mergeCell ref="A73:A74"/>
    <mergeCell ref="C73:C74"/>
    <mergeCell ref="D73:D74"/>
    <mergeCell ref="A75:A76"/>
    <mergeCell ref="C75:C76"/>
    <mergeCell ref="D75:D76"/>
    <mergeCell ref="A69:A70"/>
    <mergeCell ref="C69:C70"/>
    <mergeCell ref="D69:D70"/>
    <mergeCell ref="A71:A72"/>
    <mergeCell ref="C71:C72"/>
    <mergeCell ref="D71:D72"/>
    <mergeCell ref="A65:A66"/>
    <mergeCell ref="C65:C66"/>
    <mergeCell ref="D65:D66"/>
    <mergeCell ref="A67:A68"/>
    <mergeCell ref="C67:C68"/>
    <mergeCell ref="D67:D68"/>
    <mergeCell ref="A61:A62"/>
    <mergeCell ref="C61:C62"/>
    <mergeCell ref="D61:D62"/>
    <mergeCell ref="A63:A64"/>
    <mergeCell ref="C63:C64"/>
    <mergeCell ref="D63:D64"/>
    <mergeCell ref="A57:A58"/>
    <mergeCell ref="C57:C58"/>
    <mergeCell ref="D57:D58"/>
    <mergeCell ref="A59:A60"/>
    <mergeCell ref="C59:C60"/>
    <mergeCell ref="D59:D60"/>
    <mergeCell ref="A53:A54"/>
    <mergeCell ref="C53:C54"/>
    <mergeCell ref="D53:D54"/>
    <mergeCell ref="A55:A56"/>
    <mergeCell ref="C55:C56"/>
    <mergeCell ref="D55:D56"/>
    <mergeCell ref="A49:A50"/>
    <mergeCell ref="C49:C50"/>
    <mergeCell ref="D49:D50"/>
    <mergeCell ref="A51:A52"/>
    <mergeCell ref="C51:C52"/>
    <mergeCell ref="D51:D52"/>
    <mergeCell ref="A45:A46"/>
    <mergeCell ref="C45:C46"/>
    <mergeCell ref="D45:D46"/>
    <mergeCell ref="A47:A48"/>
    <mergeCell ref="C47:C48"/>
    <mergeCell ref="D47:D48"/>
    <mergeCell ref="A41:A42"/>
    <mergeCell ref="C41:C42"/>
    <mergeCell ref="D41:D42"/>
    <mergeCell ref="A43:A44"/>
    <mergeCell ref="C43:C44"/>
    <mergeCell ref="D43:D44"/>
    <mergeCell ref="A37:A38"/>
    <mergeCell ref="C37:C38"/>
    <mergeCell ref="D37:D38"/>
    <mergeCell ref="A39:A40"/>
    <mergeCell ref="C39:C40"/>
    <mergeCell ref="D39:D40"/>
    <mergeCell ref="A33:A34"/>
    <mergeCell ref="C33:C34"/>
    <mergeCell ref="D33:D34"/>
    <mergeCell ref="A35:A36"/>
    <mergeCell ref="C35:C36"/>
    <mergeCell ref="D35:D36"/>
    <mergeCell ref="A29:A30"/>
    <mergeCell ref="C29:C30"/>
    <mergeCell ref="D29:D30"/>
    <mergeCell ref="A31:A32"/>
    <mergeCell ref="C31:C32"/>
    <mergeCell ref="D31:D32"/>
    <mergeCell ref="A25:A26"/>
    <mergeCell ref="C25:C26"/>
    <mergeCell ref="D25:D26"/>
    <mergeCell ref="A27:A28"/>
    <mergeCell ref="C27:C28"/>
    <mergeCell ref="D27:D28"/>
    <mergeCell ref="A21:A22"/>
    <mergeCell ref="C21:C22"/>
    <mergeCell ref="D21:D22"/>
    <mergeCell ref="A23:A24"/>
    <mergeCell ref="C23:C24"/>
    <mergeCell ref="D23:D24"/>
    <mergeCell ref="A17:A18"/>
    <mergeCell ref="C17:C18"/>
    <mergeCell ref="D17:D18"/>
    <mergeCell ref="A19:A20"/>
    <mergeCell ref="C19:C20"/>
    <mergeCell ref="D19:D20"/>
    <mergeCell ref="A13:A14"/>
    <mergeCell ref="C13:C14"/>
    <mergeCell ref="D13:D14"/>
    <mergeCell ref="A15:A16"/>
    <mergeCell ref="C15:C16"/>
    <mergeCell ref="D15:D16"/>
    <mergeCell ref="A9:A10"/>
    <mergeCell ref="C9:C10"/>
    <mergeCell ref="D9:D10"/>
    <mergeCell ref="A11:A12"/>
    <mergeCell ref="C11:C12"/>
    <mergeCell ref="D11:D12"/>
    <mergeCell ref="A4:J4"/>
    <mergeCell ref="A5:A6"/>
    <mergeCell ref="B5:B6"/>
    <mergeCell ref="C5:C6"/>
    <mergeCell ref="A7:A8"/>
    <mergeCell ref="C7:C8"/>
    <mergeCell ref="D7:D8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0" max="255" man="1"/>
    <brk id="80" max="255" man="1"/>
    <brk id="120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2014-01-23T12:54:44Z</cp:lastPrinted>
  <dcterms:created xsi:type="dcterms:W3CDTF">2007-01-09T12:30:29Z</dcterms:created>
  <dcterms:modified xsi:type="dcterms:W3CDTF">2014-01-28T08:57:11Z</dcterms:modified>
  <cp:category/>
  <cp:version/>
  <cp:contentType/>
  <cp:contentStatus/>
</cp:coreProperties>
</file>