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4"/>
  </bookViews>
  <sheets>
    <sheet name="1.pielikums_ 2013" sheetId="1" r:id="rId1"/>
    <sheet name="2.pielikums_2013" sheetId="2" r:id="rId2"/>
    <sheet name="3.pielikums_2013" sheetId="3" r:id="rId3"/>
    <sheet name="4.pielikums_2013." sheetId="4" r:id="rId4"/>
    <sheet name="5.pielikums_2013." sheetId="5" r:id="rId5"/>
  </sheets>
  <definedNames>
    <definedName name="_xlnm.Print_Titles" localSheetId="2">'3.pielikums_2013'!$7:$8</definedName>
    <definedName name="_xlnm.Print_Titles" localSheetId="4">'5.pielikums_2013.'!$A:$A,'5.pielikums_2013.'!$5:$6</definedName>
  </definedNames>
  <calcPr fullCalcOnLoad="1"/>
</workbook>
</file>

<file path=xl/sharedStrings.xml><?xml version="1.0" encoding="utf-8"?>
<sst xmlns="http://schemas.openxmlformats.org/spreadsheetml/2006/main" count="940" uniqueCount="661">
  <si>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</si>
  <si>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</si>
  <si>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</si>
  <si>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</si>
  <si>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</si>
  <si>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</si>
  <si>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</si>
  <si>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</si>
  <si>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</si>
  <si>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</si>
  <si>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</si>
  <si>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</si>
  <si>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</si>
  <si>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</si>
  <si>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</si>
  <si>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</si>
  <si>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</si>
  <si>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</si>
  <si>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</si>
  <si>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</si>
  <si>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</si>
  <si>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</si>
  <si>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</si>
  <si>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</si>
  <si>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</si>
  <si>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</si>
  <si>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</si>
  <si>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</si>
  <si>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</si>
  <si>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</si>
  <si>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 xml:space="preserve">           Pamatbudžeta izdevumi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</si>
  <si>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</si>
  <si>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</si>
  <si>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</si>
  <si>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</si>
  <si>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</si>
  <si>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</si>
  <si>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</si>
  <si>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</si>
  <si>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</si>
  <si>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</si>
  <si>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</si>
  <si>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</si>
  <si>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</si>
  <si>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</si>
  <si>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</si>
  <si>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</si>
  <si>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</si>
  <si>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</si>
  <si>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</si>
  <si>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</si>
  <si>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</si>
  <si>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</si>
  <si>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</si>
  <si>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</si>
  <si>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</si>
  <si>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</si>
  <si>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</si>
  <si>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</si>
  <si>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</si>
  <si>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</si>
  <si>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</si>
  <si>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</si>
  <si>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</si>
  <si>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</si>
  <si>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</si>
  <si>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</si>
  <si>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</si>
  <si>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</si>
  <si>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</si>
  <si>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</si>
  <si>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</si>
  <si>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</si>
  <si>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</si>
  <si>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</si>
  <si>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</si>
  <si>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</si>
  <si>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</si>
  <si>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</si>
  <si>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</si>
  <si>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</si>
  <si>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</si>
  <si>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</si>
  <si>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</si>
  <si>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</si>
  <si>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</si>
  <si>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Klasifikācijas kods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</si>
  <si>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</si>
  <si>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</si>
  <si>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</si>
  <si>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</si>
  <si>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</si>
  <si>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</si>
  <si>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</si>
  <si>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</si>
  <si>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</si>
  <si>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</si>
  <si>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</si>
  <si>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</si>
  <si>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</si>
  <si>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10.600.</t>
  </si>
  <si>
    <t>10.700.</t>
  </si>
  <si>
    <t>10.910.</t>
  </si>
  <si>
    <t>Mērķdotācija pašvaldību autoceļu (ielu) fondiem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</si>
  <si>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</si>
  <si>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</si>
  <si>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</si>
  <si>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</si>
  <si>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</si>
  <si>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</si>
  <si>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</si>
  <si>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</si>
  <si>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</si>
  <si>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</si>
  <si>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</si>
  <si>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</si>
  <si>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</si>
  <si>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</si>
  <si>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</si>
  <si>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</si>
  <si>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</si>
  <si>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</si>
  <si>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</si>
  <si>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</si>
  <si>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</si>
  <si>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</si>
  <si>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</si>
  <si>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</si>
  <si>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</si>
  <si>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</si>
  <si>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</si>
  <si>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</si>
  <si>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</si>
  <si>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</si>
  <si>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</si>
  <si>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</si>
  <si>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</si>
  <si>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</si>
  <si>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</si>
  <si>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</si>
  <si>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</si>
  <si>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Atkarību profilakses kabinets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</si>
  <si>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</si>
  <si>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</si>
  <si>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</si>
  <si>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</si>
  <si>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</si>
  <si>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</si>
  <si>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</si>
  <si>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</si>
  <si>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</si>
  <si>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</si>
  <si>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</si>
  <si>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</si>
  <si>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Naudas sodi, ko uzliek pašvaldības</t>
  </si>
  <si>
    <t>Soda sankcijas par vispārējiem nodokļu maksāšanas pārkāpumiem</t>
  </si>
  <si>
    <t xml:space="preserve">Ieņēmumi no pašvaldības īpašuma iznomāšanas, pārdošanas un no nodokļu pamatparāda kapitalizācijas 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</si>
  <si>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</si>
  <si>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</si>
  <si>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</si>
  <si>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 xml:space="preserve"> 4. pielikums</t>
  </si>
  <si>
    <t>Ieņēmumi no privatizācijas</t>
  </si>
  <si>
    <t>SPECIĀLĀ BUDŽETA NOSAUKUMS</t>
  </si>
  <si>
    <t>I</t>
  </si>
  <si>
    <t>Dabas resursu nodoklis par dabas resursu ieguvi un vides piesārņojumu</t>
  </si>
  <si>
    <t>II</t>
  </si>
  <si>
    <t>Mērķdotācija pašvaldībām  pasažieru regulārajiem pārvadājumiem ar autobusiem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</si>
  <si>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</si>
  <si>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</si>
  <si>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</si>
  <si>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</si>
  <si>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</si>
  <si>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</si>
  <si>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</si>
  <si>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>Pamatkapitāla palielināšana SIA "Zemgales Olimpiskais centrs"</t>
  </si>
  <si>
    <t>Pārējā citur neklasificētā kultūra</t>
  </si>
  <si>
    <t>Bērnu un ģimenes atbalsta centrs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</si>
  <si>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</si>
  <si>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</si>
  <si>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</si>
  <si>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</si>
  <si>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</si>
  <si>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</si>
  <si>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</si>
  <si>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</si>
  <si>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</si>
  <si>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</si>
  <si>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</si>
  <si>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</si>
  <si>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</si>
  <si>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</si>
  <si>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</si>
  <si>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</si>
  <si>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</si>
  <si>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</si>
  <si>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</si>
  <si>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>KOPĀ SPECIĀLO BUDŽETU LĪDZEKĻI (I+II+III)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</si>
  <si>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</si>
  <si>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</si>
  <si>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</si>
  <si>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</si>
  <si>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</si>
  <si>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</si>
  <si>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Pārejie dažādi nenodokļu ieņēmumi, kas nav iepriekš klasificēti šajā klasifikācijā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</si>
  <si>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</si>
  <si>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</si>
  <si>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</si>
  <si>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</si>
  <si>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</si>
  <si>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</si>
  <si>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Pašvaldību speciālajā budžetā saņemtie valsts budžeta transferti</t>
  </si>
  <si>
    <t>Autoceļu (ielu) fonda līdzekļi</t>
  </si>
  <si>
    <t xml:space="preserve">Akcijas un cita līdzdalība komersantu pašu kapitālā </t>
  </si>
  <si>
    <t>04.901.</t>
  </si>
  <si>
    <t>04.905.</t>
  </si>
  <si>
    <t>Zemes reformas darbība, zemes īpašuma un lietošanas tiesību pārveidošana</t>
  </si>
  <si>
    <t>Inteliģentās enerģijas -Eiropas programmas  projekts "Zemgales reģionālās enerģijas aģentūras izveide enerģijas vadības un efektivitātes atbalstīšanai"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</si>
  <si>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</si>
  <si>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</si>
  <si>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</si>
  <si>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</si>
  <si>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</si>
  <si>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</si>
  <si>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</si>
  <si>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</si>
  <si>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</si>
  <si>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</si>
  <si>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</si>
  <si>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</si>
  <si>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</si>
  <si>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</si>
  <si>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</si>
  <si>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 xml:space="preserve">Dabas resursu nodoklis </t>
  </si>
  <si>
    <t>Nekustamā īpašuma nodoklis par mājokļiem</t>
  </si>
  <si>
    <t>Ieņēmumi no dzīvojamo māju privatizācijas</t>
  </si>
  <si>
    <t>01.111.</t>
  </si>
  <si>
    <t xml:space="preserve">Klasifik. kods </t>
  </si>
  <si>
    <t>Izpildvaras institūcija</t>
  </si>
  <si>
    <t>01.112.</t>
  </si>
  <si>
    <t>04.519.</t>
  </si>
  <si>
    <t>04.906.</t>
  </si>
  <si>
    <t>08.241.</t>
  </si>
  <si>
    <t>Jelgavas kamerorķestris</t>
  </si>
  <si>
    <t>09.210.</t>
  </si>
  <si>
    <t>08.105.</t>
  </si>
  <si>
    <t>08.243.</t>
  </si>
  <si>
    <t>Jelgavas Ā.Alunāna teātra darbības nodrošināšana</t>
  </si>
  <si>
    <t>08.401.</t>
  </si>
  <si>
    <t>08.402.</t>
  </si>
  <si>
    <t>Jelgavas vispārizglītojošās skolas</t>
  </si>
  <si>
    <t>Citi dažādi nenodokļu ieņēmumi</t>
  </si>
  <si>
    <t>08.231.</t>
  </si>
  <si>
    <t>08.232.</t>
  </si>
  <si>
    <t>08.403.</t>
  </si>
  <si>
    <t>Kultūras padomes finansētie pasākumi</t>
  </si>
  <si>
    <t>Subsīdija nodibinājumam "Kultūras tālākizglītības atbalsta fonds"</t>
  </si>
  <si>
    <t>08.405.</t>
  </si>
  <si>
    <t>Reliģisko organizāciju un citu biedrību un nodibinājumu pakalpojumi</t>
  </si>
  <si>
    <t>09.521.</t>
  </si>
  <si>
    <t>09.522.</t>
  </si>
  <si>
    <t>Atbalsta fondi</t>
  </si>
  <si>
    <t xml:space="preserve">                   INFORMĀCIJA PAR JELGAVAS PILSĒTAS PAŠVALDĪBAS ILGTERMIŅA SAISTĪBĀM 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</si>
  <si>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</si>
  <si>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</si>
  <si>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</si>
  <si>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</si>
  <si>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</si>
  <si>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</si>
  <si>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</si>
  <si>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</si>
  <si>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KOPĀ</t>
  </si>
  <si>
    <t xml:space="preserve">Valsts kase </t>
  </si>
  <si>
    <t>12.09.2003.</t>
  </si>
  <si>
    <t>Pamatsumma</t>
  </si>
  <si>
    <t>A2/1/F03/539</t>
  </si>
  <si>
    <t>01.05.2022.</t>
  </si>
  <si>
    <t>Valsts kase</t>
  </si>
  <si>
    <t>20.12.2005.</t>
  </si>
  <si>
    <t>A2/1/05/709</t>
  </si>
  <si>
    <t>20.12.2015.</t>
  </si>
  <si>
    <t>A2/1/05/710</t>
  </si>
  <si>
    <t>A2/1/05/711</t>
  </si>
  <si>
    <t>09.02.2006.</t>
  </si>
  <si>
    <t>A2/1/10/477</t>
  </si>
  <si>
    <t>20.01.2016.</t>
  </si>
  <si>
    <t>17.03.2006.</t>
  </si>
  <si>
    <t>A2/1/10/474</t>
  </si>
  <si>
    <t>A2/1/10/475</t>
  </si>
  <si>
    <t>A2/1/10/476</t>
  </si>
  <si>
    <t>A2/1/10/487</t>
  </si>
  <si>
    <t>27.06.2006.</t>
  </si>
  <si>
    <t>A2/1/10/472</t>
  </si>
  <si>
    <t>A2/1/10/473</t>
  </si>
  <si>
    <t>A2/1/10/471</t>
  </si>
  <si>
    <t>A2/1/10/486</t>
  </si>
  <si>
    <t>13.10.2006.</t>
  </si>
  <si>
    <t>A2/1/10/488</t>
  </si>
  <si>
    <t>A2/1/10/485</t>
  </si>
  <si>
    <t>21.06.2007.-</t>
  </si>
  <si>
    <t>A2/1/07/301</t>
  </si>
  <si>
    <t>20.01.2017.</t>
  </si>
  <si>
    <t>A2/1/07/302</t>
  </si>
  <si>
    <t>A2/1/07/303</t>
  </si>
  <si>
    <t>A2/1/07/304</t>
  </si>
  <si>
    <t>A2/1/07/305</t>
  </si>
  <si>
    <t>A2/1/07/306</t>
  </si>
  <si>
    <t>11.04.2008.-</t>
  </si>
  <si>
    <t>A2/1/10/470</t>
  </si>
  <si>
    <t>20.02.2022.</t>
  </si>
  <si>
    <t>A2/1/10/468</t>
  </si>
  <si>
    <t>A2/1/10/469</t>
  </si>
  <si>
    <t>A2/1/10/467</t>
  </si>
  <si>
    <t>Dzīvojamā fonda iegādei</t>
  </si>
  <si>
    <t>A2/1/10/466</t>
  </si>
  <si>
    <t>01.08.2008.-</t>
  </si>
  <si>
    <t>A2/1/10/484</t>
  </si>
  <si>
    <t>20.06.2022.</t>
  </si>
  <si>
    <t>A2/1/10/465</t>
  </si>
  <si>
    <t>23.10.2008.-</t>
  </si>
  <si>
    <t>A2/1/10/463</t>
  </si>
  <si>
    <t>A2/1/10/464</t>
  </si>
  <si>
    <t>20.08.2022.</t>
  </si>
  <si>
    <t xml:space="preserve">Atraktīvu un pieejamu muzeju attīstība Zemgalē unZiemeļlietuvā </t>
  </si>
  <si>
    <t>21.04.2009.-</t>
  </si>
  <si>
    <t>20.04.2023.</t>
  </si>
  <si>
    <t>Energoefektīva un saskaņota darbība pilsētas attīstībā</t>
  </si>
  <si>
    <t>Pārrobežu sadarbības iniciatīva riska vadības sistēmas veidošanai</t>
  </si>
  <si>
    <t>19.06.2009.-</t>
  </si>
  <si>
    <t>20.05.2023.</t>
  </si>
  <si>
    <t>4. vidusskolas piebūves celtniecība</t>
  </si>
  <si>
    <t>12.08.2009.-</t>
  </si>
  <si>
    <t>20.07.2023.</t>
  </si>
  <si>
    <t>Lielupes gultnes tīrīšana un labā krasta aizsargdambja atjaunošana</t>
  </si>
  <si>
    <t>25.08.2009.-</t>
  </si>
  <si>
    <t xml:space="preserve">Transporta, inženierkomunikāciju infrastruktūras izveide Pārlielupē </t>
  </si>
  <si>
    <t>Reģiona nozīmes tūrisma un kultur izglītības centra izveide Jelgavā</t>
  </si>
  <si>
    <t>A2/1/10/220</t>
  </si>
  <si>
    <t>20.03.2024.</t>
  </si>
  <si>
    <t>A2/1/10/221</t>
  </si>
  <si>
    <t>Satiksmes drošības uzlabošanai Rūpniecības - Atmodas ielas posmā</t>
  </si>
  <si>
    <t>A2/1/10/334</t>
  </si>
  <si>
    <t>Sadarbība mācību programmu kvalitātes uzlabošanai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</si>
  <si>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</si>
  <si>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</si>
  <si>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</si>
  <si>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</si>
  <si>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</si>
  <si>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</si>
  <si>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</si>
  <si>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</si>
  <si>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A2/1/10/899</t>
  </si>
  <si>
    <t>Mācību projekta moderniz. un infrastr. uzlabošana Amatu vsk.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</si>
  <si>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</si>
  <si>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</si>
  <si>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</si>
  <si>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</si>
  <si>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</si>
  <si>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</si>
  <si>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</si>
  <si>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</si>
  <si>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</si>
  <si>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</si>
  <si>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</si>
  <si>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</si>
  <si>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</si>
  <si>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</si>
  <si>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</si>
  <si>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</si>
  <si>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</si>
  <si>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</si>
  <si>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 xml:space="preserve">  Kopā pamatsummas                  </t>
  </si>
  <si>
    <t xml:space="preserve">Kopā procentu maksājumi         </t>
  </si>
  <si>
    <t>Aizņēmumu saistības kopā</t>
  </si>
  <si>
    <t>%</t>
  </si>
  <si>
    <t>Zvērināto auditoru pakalpojumi un grāmatvedības programmas "Horizon" uzturēšana</t>
  </si>
  <si>
    <t xml:space="preserve">Klasifikā-cijas kods 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</si>
  <si>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</si>
  <si>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</si>
  <si>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</si>
  <si>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</si>
  <si>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</si>
  <si>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</si>
  <si>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</si>
  <si>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</si>
  <si>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</si>
  <si>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</si>
  <si>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</si>
  <si>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</si>
  <si>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</si>
  <si>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</si>
  <si>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</si>
  <si>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</si>
  <si>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</si>
  <si>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</si>
  <si>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</si>
  <si>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</si>
  <si>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</si>
  <si>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</si>
  <si>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</si>
  <si>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</si>
  <si>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</si>
  <si>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</si>
  <si>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</si>
  <si>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</si>
  <si>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</si>
  <si>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</si>
  <si>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</si>
  <si>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</si>
  <si>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</si>
  <si>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</si>
  <si>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 xml:space="preserve">Budžeta iestāžu ieņēmumi </t>
  </si>
  <si>
    <t>21.300.</t>
  </si>
  <si>
    <t>21.340.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</si>
  <si>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</si>
  <si>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</si>
  <si>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</si>
  <si>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</si>
  <si>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</si>
  <si>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</si>
  <si>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</si>
  <si>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</si>
  <si>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</si>
  <si>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Nekustamā īpašuma nodokļa u.c.pašvaldības ieņēmumu administrēšana</t>
  </si>
  <si>
    <t>Izpildvaras un likumdošanas varas institūcijas</t>
  </si>
  <si>
    <r>
      <t>Pārējo vispārējas nozīmes dienestu darbība un pakalpojumi -</t>
    </r>
    <r>
      <rPr>
        <b/>
        <i/>
        <sz val="11"/>
        <rFont val="Times New Roman"/>
        <family val="1"/>
      </rPr>
      <t xml:space="preserve"> centralizēto datoru un datortīkla uzturēšana</t>
    </r>
  </si>
  <si>
    <r>
      <t xml:space="preserve">Pašvaldības budžetu parāda darījumi - </t>
    </r>
    <r>
      <rPr>
        <b/>
        <i/>
        <sz val="11"/>
        <rFont val="Times New Roman"/>
        <family val="1"/>
      </rPr>
      <t>parāda procentu nomaksa</t>
    </r>
  </si>
  <si>
    <r>
      <t xml:space="preserve">Pārējie citur neklasificētie vispārēja rakstura transferti starp dažādiem valsts pārvaldes līmeņiem - </t>
    </r>
    <r>
      <rPr>
        <i/>
        <sz val="11"/>
        <rFont val="Times New Roman"/>
        <family val="1"/>
      </rPr>
      <t>Izdevumi neparedzētiem gadījumiem</t>
    </r>
  </si>
  <si>
    <t>Jelgavas sporta skolas - SSC</t>
  </si>
  <si>
    <t>04.909.</t>
  </si>
  <si>
    <t>Dotācija "Zemgales plānošanas reģions"</t>
  </si>
  <si>
    <t>Internātpamatskolas un šo skolu projektu realizācijai</t>
  </si>
  <si>
    <t>10.504.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</si>
  <si>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</si>
  <si>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</si>
  <si>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</si>
  <si>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09.812.</t>
  </si>
  <si>
    <t>A2/1/11/36</t>
  </si>
  <si>
    <t>A2/1/11/42</t>
  </si>
  <si>
    <t>A2/1/11/41</t>
  </si>
  <si>
    <t>A2/1/11/40</t>
  </si>
  <si>
    <t>A2/1/11/43</t>
  </si>
  <si>
    <t>A2/1/11/39</t>
  </si>
  <si>
    <t>01.12.2009-</t>
  </si>
  <si>
    <t>A2/1/11/38</t>
  </si>
  <si>
    <t>08.12.2009-</t>
  </si>
  <si>
    <t>A2/1/11/37</t>
  </si>
  <si>
    <t>25.03.2010-</t>
  </si>
  <si>
    <t>20.05.2010-</t>
  </si>
  <si>
    <t>11.06.2010-</t>
  </si>
  <si>
    <t>22.10.2010-</t>
  </si>
  <si>
    <t>20.05.2024.</t>
  </si>
  <si>
    <t>A2/1/11/35</t>
  </si>
  <si>
    <t>20.09.2024.</t>
  </si>
  <si>
    <t>11.10.2010-</t>
  </si>
  <si>
    <t>A2/1/11/34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</si>
  <si>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</si>
  <si>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</si>
  <si>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</si>
  <si>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</si>
  <si>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</si>
  <si>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</si>
  <si>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</si>
  <si>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</si>
  <si>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</si>
  <si>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</si>
  <si>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</si>
  <si>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</si>
  <si>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</si>
  <si>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</si>
  <si>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</si>
  <si>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</si>
  <si>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</si>
  <si>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</si>
  <si>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</si>
  <si>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</si>
  <si>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</si>
  <si>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</si>
  <si>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Citi iepriekš neklasificētie pašu ieņēmumi</t>
  </si>
  <si>
    <t>10.404.</t>
  </si>
  <si>
    <t>ESF projekts "Sociālās rehabilitācijas un motivācijas programma sociālās atstumtības riskam pakļautiem bērniem un jauniešiem Jelgavas pilsētā"</t>
  </si>
  <si>
    <r>
      <t>Kultūras centri, nami un klubi</t>
    </r>
    <r>
      <rPr>
        <b/>
        <i/>
        <sz val="11"/>
        <rFont val="Times New Roman"/>
        <family val="1"/>
      </rPr>
      <t xml:space="preserve"> </t>
    </r>
  </si>
  <si>
    <t>04.911.</t>
  </si>
  <si>
    <t>04.912.</t>
  </si>
  <si>
    <t>10.405.</t>
  </si>
  <si>
    <t>ERAF projekts "Ielu infrastruktūras attīstība un Driksas upes krastmalas sakārtošana"</t>
  </si>
  <si>
    <t>Latvijas - Lietuvas pārrobežu sadarbības programmas projekts "Zinātnes un ražošanas sadarbības veidošana Jelgavā un Šauļos"</t>
  </si>
  <si>
    <t xml:space="preserve">Pārējā citur neklasificētā pašvaldības teritoriju un mājokļu apsaimniekošanas darbība </t>
  </si>
  <si>
    <t>Dotācijas projektu realizācijai NVO</t>
  </si>
  <si>
    <t>Pirmsskolas izglītības iestāžu uzturēšana</t>
  </si>
  <si>
    <t>Atbalsts ģimenēm ar bērniem</t>
  </si>
  <si>
    <t>Atbalsts bezdarba gadījumā</t>
  </si>
  <si>
    <t>Pārējais citur neklasificētais atbalsts sociāli atstumtām personām</t>
  </si>
  <si>
    <r>
      <t>Mājokļa atbalsts -</t>
    </r>
    <r>
      <rPr>
        <b/>
        <i/>
        <sz val="11"/>
        <rFont val="Times New Roman"/>
        <family val="1"/>
      </rPr>
      <t>Dzīvokļa pabalsts un pabalsts individuālās apkures nodrošināšanai</t>
    </r>
  </si>
  <si>
    <t>Eiropas reģionālās attīstības projekts "Pasta salas labiekārtošana un upju kā tūrisma un aktīvās atpūtas produkta veidošana Jelgavā"</t>
  </si>
  <si>
    <t>Eiropas reģionālās attīstības projekts "Hidrotehnisko būvju rekonstrukcija plūdu draudu risku novēršanai Kalnciema ceļa - Loka maģistrāles rajonā, Jelgavā"</t>
  </si>
  <si>
    <t>ESF projekts "Sociālās rehabilitācijas programma Jelgavas pilsētā dzīvojošām romu tautības ģimenēm ar pirsskolas vai skolas vecuma bērniem"</t>
  </si>
  <si>
    <t>Palīdzība veciem cilvēkiem</t>
  </si>
  <si>
    <t>Valsts nodeva par uzvārda, vārda un tautības ieraksta maiņu personu apliecinošos dokumentos</t>
  </si>
  <si>
    <t>Subsīdija nodibinājumam "Sporta talākizglītības atbalsta fonds"</t>
  </si>
  <si>
    <t>2013.gada plāns</t>
  </si>
  <si>
    <t xml:space="preserve">         JELGAVAS PILSĒTAS PAŠVALDĪBAS 2013.GADA BUDŽETS  </t>
  </si>
  <si>
    <t>Plāns 2013.gadam</t>
  </si>
  <si>
    <t>Finansēšana (naudas līdzekļu atlikums uz 31.12.2012.)</t>
  </si>
  <si>
    <t xml:space="preserve">JELGAVAS PILSĒTAS PAŠVALDĪBAS 2013.GADA BUDŽETS  </t>
  </si>
  <si>
    <t>2013.gada izdevumu plāns</t>
  </si>
  <si>
    <t xml:space="preserve">             JELGAVAS PILSĒTAS  PAŠVALDĪBAS  2013.GADA  SPECIĀLAIS  BUDŽETS</t>
  </si>
  <si>
    <t>2013. gada speciālā budžeta ieņēmumu plāns</t>
  </si>
  <si>
    <t>Finansēšana - līdzekļu atlikums uz 31.12.2012.</t>
  </si>
  <si>
    <t>2013.gada speciālā budžeta resursu plāns</t>
  </si>
  <si>
    <t xml:space="preserve">2013.gada speciālā budžeta izdevumu plāns </t>
  </si>
  <si>
    <t>05.531.</t>
  </si>
  <si>
    <t>Nr. p.k</t>
  </si>
  <si>
    <t>2027-2030</t>
  </si>
  <si>
    <t>Siltumtīklu rehabilitācija</t>
  </si>
  <si>
    <t>Autobusu iegādei</t>
  </si>
  <si>
    <t>Projekts "Drošais ceļš uz skolu</t>
  </si>
  <si>
    <t>O.Kalpaka, Svētes ielu remontam</t>
  </si>
  <si>
    <t>4.vsk piebūves projektēšanai</t>
  </si>
  <si>
    <t>Skolu dabas zinātņu kabinetu renovācijai</t>
  </si>
  <si>
    <t>Sv.Trīsvienības baznīcas torņa rekonstrukcijas projekts</t>
  </si>
  <si>
    <t>Elektrotīklu pirkšanai</t>
  </si>
  <si>
    <t>Slimnīcas operāciju bloka remontam</t>
  </si>
  <si>
    <t>ERAF projektam ar SAC "Jelgava"</t>
  </si>
  <si>
    <t>Stāvlaukuma un ielu rekonstrukcija</t>
  </si>
  <si>
    <t>INTERREG projekts "Riska vadības sistēma"</t>
  </si>
  <si>
    <t>Peldu ielas izbūvei</t>
  </si>
  <si>
    <t>PHARE projekts "Satiksmes drošība pie skolām"</t>
  </si>
  <si>
    <t>Pašvaldību iestāžu ēku remontiem</t>
  </si>
  <si>
    <t>Pamatkapitāla palielināšanai SIA "JPSlimnīca", "JNMPS"</t>
  </si>
  <si>
    <t>Pamatkapitāla palielināšana SIA "ZOC"</t>
  </si>
  <si>
    <t>Pilsētas ielu izbūvei, renovācijai un remontam</t>
  </si>
  <si>
    <t>Infrastruktūras objektu rekonstrukcijai un izbūvei</t>
  </si>
  <si>
    <t>ES fondu atbalstīto projektu priekšfin.un līdzfinansējums</t>
  </si>
  <si>
    <t>Energoefekt. Paaugstināšanai: 4.vsk., 6.vsk, 4.psk, 1.intern.psk.</t>
  </si>
  <si>
    <t>Projekts "Biznesa inkubatora izveide"</t>
  </si>
  <si>
    <t>Pamatkapitāla palielināšana pašvaldības SIA</t>
  </si>
  <si>
    <t>Pilsētas ielu un infrastruktūras objektu renovācijai</t>
  </si>
  <si>
    <t xml:space="preserve">Projekts "Publiskās partnerības ieviešana" </t>
  </si>
  <si>
    <t>Projekts "Daudzfunkcionālā centra izveide"</t>
  </si>
  <si>
    <t>Luksofori Raiņa/ Akadēmijas, Raiņa/Kalpaka ielu krustojumos</t>
  </si>
  <si>
    <t>Kalnciema ceļa un Tērvetes ielas seguma atjaunošanai</t>
  </si>
  <si>
    <t>Transporta infrastruktūras sakārtošana pilsētas centrā</t>
  </si>
  <si>
    <t>Raiņa, Lielās, Čakstes ielu rekonstrukcijas projekta izstrāde</t>
  </si>
  <si>
    <t>Meliorat. Sist. rekonstrukc.cukura rūpn. skartajās terit.Jelgavā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</si>
  <si>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</si>
  <si>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</si>
  <si>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</si>
  <si>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</si>
  <si>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</si>
  <si>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</si>
  <si>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</si>
  <si>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Projekts</t>
  </si>
  <si>
    <t>Pasta salas labiekārtošana un upju kā tūrisma un akt.atp.prod.veidoš.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</si>
  <si>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</si>
  <si>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</si>
  <si>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</si>
  <si>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</si>
  <si>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</si>
  <si>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</si>
  <si>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</si>
  <si>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</si>
  <si>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</si>
  <si>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</si>
  <si>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</si>
  <si>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</si>
  <si>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</si>
  <si>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</si>
  <si>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</si>
  <si>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</si>
  <si>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 xml:space="preserve">Saistību īpatsavars ( pašu ieņēmumi 24 598 778 LVL) </t>
  </si>
  <si>
    <t>09.529.</t>
  </si>
  <si>
    <t>06.606.</t>
  </si>
  <si>
    <t>03.204.</t>
  </si>
  <si>
    <t>04.914.</t>
  </si>
  <si>
    <t>08.242.</t>
  </si>
  <si>
    <t>10.709.</t>
  </si>
  <si>
    <t>01.600.</t>
  </si>
  <si>
    <t>10.922.</t>
  </si>
  <si>
    <t>04.520.</t>
  </si>
  <si>
    <t>04.734.</t>
  </si>
  <si>
    <t>05.304.</t>
  </si>
  <si>
    <t>07.622.</t>
  </si>
  <si>
    <t>09.219.3.</t>
  </si>
  <si>
    <t>09.518.</t>
  </si>
  <si>
    <r>
      <t xml:space="preserve">Pārējie iepriekš neklasificētie vispārējie vadības dienesti - </t>
    </r>
    <r>
      <rPr>
        <b/>
        <i/>
        <sz val="11"/>
        <rFont val="Times New Roman"/>
        <family val="1"/>
      </rPr>
      <t>vēlēšanu organizēšana</t>
    </r>
  </si>
  <si>
    <t>Latvijas - Lietuvas pārrobežu sadarbības programmas projekts "Glābšanas komandas izveide plūdu situāciju novēršanai Latvijas un Lietuvas pierobežas reģionā"</t>
  </si>
  <si>
    <t xml:space="preserve">Pašvaldības operatīvās informācijas centrs </t>
  </si>
  <si>
    <t>ERAF projekts "Lietuvas šosejas rekonstrukcija posmā no Miera ielas līdz Rūpniecības ielai"</t>
  </si>
  <si>
    <t>P/ie Jelgavas reģionālais tūrisma centrs</t>
  </si>
  <si>
    <r>
      <t>Policijas dienests -</t>
    </r>
    <r>
      <rPr>
        <b/>
        <i/>
        <sz val="11"/>
        <rFont val="Times New Roman"/>
        <family val="1"/>
      </rPr>
      <t>P/ie "Jelgavas pilsētas pašvaldības policija"</t>
    </r>
  </si>
  <si>
    <t xml:space="preserve"> P/ ie "Pašvaldības iestāžu centralizētā grāmatvedība" </t>
  </si>
  <si>
    <t>Centrālās baltijas jūras reģiona INTERREG IV A programmas projekts "Centrālbaltijas velotīkls"</t>
  </si>
  <si>
    <t>ESF projekts "Jelgavas pilsētas attīstības plānošanas kapacitātes paaugstināšana"</t>
  </si>
  <si>
    <t>ESF projekts „Jelgavas pilsētas pašvaldības kapacitātes stiprināšana – II kārta”</t>
  </si>
  <si>
    <t xml:space="preserve">Ielu, laukumu, publisko dārzu un parku tīrīšana un atkritumu savākšana </t>
  </si>
  <si>
    <t>Latvijas - Lietuvas pārrobežu sadarbības programmas projekts "Ekoloģisko avāriju likvidēšana un vides piesārņojuma mazināšana Lielupes baseina teritorijā"</t>
  </si>
  <si>
    <t>05.300.</t>
  </si>
  <si>
    <t>Vides piesārņojuma novēršana un samazināšana</t>
  </si>
  <si>
    <r>
      <t xml:space="preserve">Teritoriju attīstība - </t>
    </r>
    <r>
      <rPr>
        <b/>
        <i/>
        <sz val="11"/>
        <rFont val="Times New Roman"/>
        <family val="1"/>
      </rPr>
      <t>Projektu sagatavošana, izstrāde un teritoriju attīstība</t>
    </r>
  </si>
  <si>
    <t>06.201.</t>
  </si>
  <si>
    <t xml:space="preserve">P/ie "Pilsētsaimniecība" </t>
  </si>
  <si>
    <t>Ar pašvaldības teritoriju saistīto normatīvo aktu un standartu sagatavošana un ieviešana</t>
  </si>
  <si>
    <t>Veselības veicināšanas pasākumi</t>
  </si>
  <si>
    <t xml:space="preserve">P/ie "Sporta servisa centrs" </t>
  </si>
  <si>
    <t>Latvijas - Lietuvas pārrobežu sadarbības programmas projekts "Veseli jaunieši"</t>
  </si>
  <si>
    <t>Muzeji un izstādes</t>
  </si>
  <si>
    <t xml:space="preserve">P/ie "Jelgavas Ģ.Eliasa Vēstures un mākslas muzejs" </t>
  </si>
  <si>
    <r>
      <t>Bibliotēkas -</t>
    </r>
    <r>
      <rPr>
        <b/>
        <i/>
        <sz val="11"/>
        <rFont val="Times New Roman"/>
        <family val="1"/>
      </rPr>
      <t xml:space="preserve"> P/ie  "Jelgavas zinātniskā bibliotēka"</t>
    </r>
  </si>
  <si>
    <t>P/ie  "Kultūra"</t>
  </si>
  <si>
    <t>P/ie "Kultūra" pasākumi</t>
  </si>
  <si>
    <t>Jelgavas bigbends</t>
  </si>
  <si>
    <r>
      <t xml:space="preserve">Izdevniecība - </t>
    </r>
    <r>
      <rPr>
        <b/>
        <i/>
        <sz val="11"/>
        <rFont val="Times New Roman"/>
        <family val="1"/>
      </rPr>
      <t xml:space="preserve">P/ie "Zemgales INFO" </t>
    </r>
  </si>
  <si>
    <t>Dotācijas reliģiskajām un citām biedrībām, nodibinājumiem - fin.nod.</t>
  </si>
  <si>
    <t>Pirmskolas izglītība</t>
  </si>
  <si>
    <t>Pirmsskolas izglītības iestāde Ganību ielā 66, Jelgavā</t>
  </si>
  <si>
    <t>09.101.13.</t>
  </si>
  <si>
    <t>Vispārējā izglītība</t>
  </si>
  <si>
    <t>09.219.1.</t>
  </si>
  <si>
    <t>09.219.2.</t>
  </si>
  <si>
    <t>Jelgavas vispārizglītojošo skolu projektu realizācija</t>
  </si>
  <si>
    <t>Jelgavas Amatu vidusskolas projektu realizācija</t>
  </si>
  <si>
    <t xml:space="preserve">Jelgavas Amatu vidusskola </t>
  </si>
  <si>
    <t>09.222.2.</t>
  </si>
  <si>
    <t>09.222.3.</t>
  </si>
  <si>
    <t>Citi interešu izglītības pasākumi, t.sk. Bērnu un jauniešu izglītības centrs "Junda"</t>
  </si>
  <si>
    <t>Bērnu un jauniešu izglītības centra "Junda" projektu realizācija</t>
  </si>
  <si>
    <t xml:space="preserve">P/ie "Zemgales reģionālais kompetenču attīstības centrs" </t>
  </si>
  <si>
    <t>P/ie "Zemgales reģionālais kompetenču attīstības centrs" projektu realizācija</t>
  </si>
  <si>
    <t>Subsīdija nodibinājumam "Izglītības atbalsta fonds"</t>
  </si>
  <si>
    <t>Subsīdija nodibinājumam "J.Bisenieka fonds"</t>
  </si>
  <si>
    <t xml:space="preserve">P/ie "Jelgavas Izglītības pārvalde" </t>
  </si>
  <si>
    <t>P/ie "Jelgavas Izglītības pārvalde"  projektu realizācija</t>
  </si>
  <si>
    <t>P/ie Bāriņtiesa</t>
  </si>
  <si>
    <t>P/ie "Jelgavas pilsētas nakts patversme"</t>
  </si>
  <si>
    <t>P/ie "Jelgavas bērnu sociālās aprūpes centrs"</t>
  </si>
  <si>
    <t>P/ie "Jelgavas bērnu sociālās aprūpes centrs" īslaicīgās sociālās aprūpes grupa</t>
  </si>
  <si>
    <t>10.900.</t>
  </si>
  <si>
    <r>
      <t>Pārējā citur neklasificētā sociālā aizsardzība</t>
    </r>
    <r>
      <rPr>
        <b/>
        <i/>
        <sz val="11"/>
        <rFont val="Times New Roman"/>
        <family val="1"/>
      </rPr>
      <t xml:space="preserve">  </t>
    </r>
  </si>
  <si>
    <t>P/ie "Jelgavas sociālo lietu pārvalde"</t>
  </si>
  <si>
    <t>Pabalsti ārkārtas gadījumos, citi pabalsti un kompensācijas</t>
  </si>
  <si>
    <t>10.921.</t>
  </si>
  <si>
    <t>Braukšanas maksas atvieglojumi skolēniem sabiedriskajā transportā</t>
  </si>
  <si>
    <t>Pašvaldības nodeva par domes izstrādāto oficiālo dokumentu un apstiprinātu to kopiju saņemšanu</t>
  </si>
  <si>
    <t>Pārējās nodevas, ko uzliek pašvaldības</t>
  </si>
  <si>
    <t>Ieņēmumi no apbūvēta zemesgabala privatizācijas</t>
  </si>
  <si>
    <t>Ieņēmumi no neapbūvēta zemesgabala privatizācijas</t>
  </si>
  <si>
    <t>21.490.</t>
  </si>
  <si>
    <t>Pamatkapitāla palielināšana SIA "Medicīnas sabiedrība OPTIMA 1"</t>
  </si>
  <si>
    <t>Pamatkapitāla palielināšana SIA "Jelgavas Ūdens"</t>
  </si>
  <si>
    <t xml:space="preserve"> 5. pielikums</t>
  </si>
  <si>
    <t>A2/1/12/690</t>
  </si>
  <si>
    <t>16.11.2012. - 20.11.2026.</t>
  </si>
  <si>
    <t>A2/1/12/532</t>
  </si>
  <si>
    <t>A2/1/12/345</t>
  </si>
  <si>
    <t>Domes priekšsēdētāja vietnieks</t>
  </si>
  <si>
    <t>V.Ļevčenoks</t>
  </si>
  <si>
    <t>SAISTOŠAJIEM NOTEIKUMIEM Nr.13-1</t>
  </si>
  <si>
    <t>31.01.2013. lēmums Nr.1/1</t>
  </si>
  <si>
    <t>SAISTOŠAJIEM NOTEIKUMIEM Nr. 13-1</t>
  </si>
  <si>
    <t xml:space="preserve">31.01.2013.lēmums Nr.1/1 </t>
  </si>
  <si>
    <t>31.01.2013.lēmums Nr.1/1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</si>
</sst>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\ _L_s_-;\-* #,##0\ _L_s_-;_-* &quot;-&quot;??\ _L_s_-;_-@_-"/>
    <numFmt numFmtId="176" formatCode="_-* #,##0.0\ _L_s_-;\-* #,##0.0\ _L_s_-;_-* &quot;-&quot;??\ _L_s_-;_-@_-"/>
    <numFmt numFmtId="177" formatCode="0.000%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_-;\-* #,##0_-;_-* &quot;-&quot;??_-;_-@_-"/>
    <numFmt numFmtId="187" formatCode="_-* #,##0.000\ &quot;Ls&quot;_-;\-* #,##0.000\ &quot;Ls&quot;_-;_-* &quot;-&quot;??\ &quot;Ls&quot;_-;_-@_-"/>
    <numFmt numFmtId="188" formatCode="_-* #,##0.0000\ &quot;Ls&quot;_-;\-* #,##0.0000\ &quot;Ls&quot;_-;_-* &quot;-&quot;??\ &quot;Ls&quot;_-;_-@_-"/>
    <numFmt numFmtId="189" formatCode="_-* #,##0.00000\ &quot;Ls&quot;_-;\-* #,##0.00000\ &quot;Ls&quot;_-;_-* &quot;-&quot;??\ &quot;Ls&quot;_-;_-@_-"/>
    <numFmt numFmtId="190" formatCode="_-* #,##0.000000\ &quot;Ls&quot;_-;\-* #,##0.000000\ &quot;Ls&quot;_-;_-* &quot;-&quot;??\ &quot;Ls&quot;_-;_-@_-"/>
    <numFmt numFmtId="191" formatCode="_-* #,##0.0000000\ &quot;Ls&quot;_-;\-* #,##0.0000000\ &quot;Ls&quot;_-;_-* &quot;-&quot;??\ &quot;Ls&quot;_-;_-@_-"/>
    <numFmt numFmtId="192" formatCode="_-* #,##0.000\ _L_s_-;\-* #,##0.000\ _L_s_-;_-* &quot;-&quot;??\ _L_s_-;_-@_-"/>
    <numFmt numFmtId="193" formatCode="_-* #,##0.0000\ _L_s_-;\-* #,##0.0000\ _L_s_-;_-* &quot;-&quot;??\ _L_s_-;_-@_-"/>
    <numFmt numFmtId="194" formatCode="[$-426]dddd\,\ yyyy&quot;. gada &quot;d\.\ mm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_-;\-* #,##0.0_-;_-* &quot;-&quot;??_-;_-@_-"/>
    <numFmt numFmtId="200" formatCode="_-* #,##0.0\ &quot;Ls&quot;_-;\-* #,##0.0\ &quot;Ls&quot;_-;_-* &quot;-&quot;??\ &quot;Ls&quot;_-;_-@_-"/>
    <numFmt numFmtId="201" formatCode="_-* #,##0\ &quot;Ls&quot;_-;\-* #,##0\ &quot;Ls&quot;_-;_-* &quot;-&quot;??\ &quot;Ls&quot;_-;_-@_-"/>
    <numFmt numFmtId="202" formatCode="[$€-2]\ #,##0.00_);[Red]\([$€-2]\ #,##0.00\)"/>
    <numFmt numFmtId="203" formatCode="0.000000000"/>
    <numFmt numFmtId="204" formatCode="_-* #,##0.000000_-;\-* #,##0.000000_-;_-* &quot;-&quot;??????_-;_-@_-"/>
    <numFmt numFmtId="205" formatCode="[$€-2]\ #,##0.00"/>
    <numFmt numFmtId="206" formatCode="[$€-2]\ #,##0.0"/>
    <numFmt numFmtId="207" formatCode="[$€-2]\ #,##0"/>
    <numFmt numFmtId="208" formatCode="[$€-2]\ #,##0.00;\-[$€-2]\ #,##0.00"/>
    <numFmt numFmtId="209" formatCode="mmm/yyyy"/>
    <numFmt numFmtId="210" formatCode="#,##0.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b/>
      <sz val="13"/>
      <name val="Arial"/>
      <family val="0"/>
    </font>
    <font>
      <b/>
      <i/>
      <sz val="11"/>
      <name val="Times New Roman"/>
      <family val="1"/>
    </font>
    <font>
      <i/>
      <sz val="11"/>
      <name val="Times New Roman Baltic"/>
      <family val="0"/>
    </font>
    <font>
      <b/>
      <sz val="11"/>
      <name val="Times New Roman Baltic"/>
      <family val="0"/>
    </font>
    <font>
      <sz val="10"/>
      <name val="Times New Roman Baltic"/>
      <family val="1"/>
    </font>
    <font>
      <b/>
      <sz val="11"/>
      <name val="Arial"/>
      <family val="0"/>
    </font>
    <font>
      <sz val="14"/>
      <name val="Times New Roman Balti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" fillId="0" borderId="1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9" fillId="0" borderId="0" xfId="0" applyFont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0" fontId="5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12" fillId="0" borderId="0" xfId="0" applyFont="1" applyFill="1" applyAlignment="1">
      <alignment horizontal="right"/>
    </xf>
    <xf numFmtId="3" fontId="1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3" fontId="1" fillId="0" borderId="26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3" fontId="12" fillId="0" borderId="22" xfId="0" applyNumberFormat="1" applyFont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12" fillId="0" borderId="0" xfId="0" applyFont="1" applyAlignment="1">
      <alignment/>
    </xf>
    <xf numFmtId="0" fontId="41" fillId="0" borderId="0" xfId="0" applyFont="1" applyAlignment="1">
      <alignment/>
    </xf>
    <xf numFmtId="3" fontId="13" fillId="0" borderId="13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3" fontId="42" fillId="0" borderId="20" xfId="0" applyNumberFormat="1" applyFont="1" applyBorder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wrapText="1"/>
    </xf>
    <xf numFmtId="3" fontId="42" fillId="0" borderId="30" xfId="0" applyNumberFormat="1" applyFont="1" applyBorder="1" applyAlignment="1">
      <alignment horizontal="center"/>
    </xf>
    <xf numFmtId="3" fontId="42" fillId="0" borderId="30" xfId="0" applyNumberFormat="1" applyFont="1" applyFill="1" applyBorder="1" applyAlignment="1">
      <alignment horizontal="center"/>
    </xf>
    <xf numFmtId="3" fontId="42" fillId="0" borderId="3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right" wrapText="1"/>
    </xf>
    <xf numFmtId="0" fontId="14" fillId="0" borderId="12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49" fontId="14" fillId="0" borderId="11" xfId="0" applyNumberFormat="1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47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left" wrapText="1"/>
    </xf>
    <xf numFmtId="0" fontId="48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right" wrapText="1"/>
    </xf>
    <xf numFmtId="0" fontId="47" fillId="0" borderId="11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right" wrapText="1"/>
    </xf>
    <xf numFmtId="0" fontId="12" fillId="0" borderId="32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2" fillId="0" borderId="33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7" fillId="0" borderId="11" xfId="0" applyNumberFormat="1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23" xfId="0" applyNumberFormat="1" applyFont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23" xfId="0" applyNumberFormat="1" applyFont="1" applyFill="1" applyBorder="1" applyAlignment="1">
      <alignment horizontal="center"/>
    </xf>
    <xf numFmtId="3" fontId="46" fillId="0" borderId="23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46" fillId="0" borderId="23" xfId="0" applyNumberFormat="1" applyFont="1" applyFill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17" xfId="0" applyFont="1" applyBorder="1" applyAlignment="1">
      <alignment/>
    </xf>
    <xf numFmtId="3" fontId="13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5" fontId="4" fillId="0" borderId="0" xfId="0" applyNumberFormat="1" applyFont="1" applyAlignment="1">
      <alignment/>
    </xf>
    <xf numFmtId="0" fontId="5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 wrapText="1"/>
    </xf>
    <xf numFmtId="3" fontId="3" fillId="7" borderId="36" xfId="0" applyNumberFormat="1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 wrapText="1"/>
    </xf>
    <xf numFmtId="3" fontId="5" fillId="7" borderId="31" xfId="0" applyNumberFormat="1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 wrapText="1"/>
    </xf>
    <xf numFmtId="3" fontId="5" fillId="7" borderId="39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 wrapText="1"/>
    </xf>
    <xf numFmtId="3" fontId="5" fillId="7" borderId="28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wrapText="1"/>
    </xf>
    <xf numFmtId="0" fontId="13" fillId="7" borderId="20" xfId="0" applyFont="1" applyFill="1" applyBorder="1" applyAlignment="1">
      <alignment horizontal="center" wrapText="1"/>
    </xf>
    <xf numFmtId="3" fontId="13" fillId="7" borderId="28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/>
    </xf>
    <xf numFmtId="0" fontId="3" fillId="7" borderId="20" xfId="0" applyFont="1" applyFill="1" applyBorder="1" applyAlignment="1">
      <alignment horizontal="center" wrapText="1"/>
    </xf>
    <xf numFmtId="3" fontId="3" fillId="7" borderId="28" xfId="0" applyNumberFormat="1" applyFont="1" applyFill="1" applyBorder="1" applyAlignment="1">
      <alignment horizontal="center"/>
    </xf>
    <xf numFmtId="0" fontId="5" fillId="7" borderId="34" xfId="0" applyFont="1" applyFill="1" applyBorder="1" applyAlignment="1">
      <alignment/>
    </xf>
    <xf numFmtId="0" fontId="11" fillId="7" borderId="35" xfId="0" applyFont="1" applyFill="1" applyBorder="1" applyAlignment="1">
      <alignment horizontal="center" wrapText="1"/>
    </xf>
    <xf numFmtId="3" fontId="11" fillId="7" borderId="36" xfId="0" applyNumberFormat="1" applyFont="1" applyFill="1" applyBorder="1" applyAlignment="1">
      <alignment/>
    </xf>
    <xf numFmtId="0" fontId="13" fillId="11" borderId="34" xfId="0" applyFont="1" applyFill="1" applyBorder="1" applyAlignment="1">
      <alignment horizontal="center" wrapText="1"/>
    </xf>
    <xf numFmtId="0" fontId="13" fillId="11" borderId="35" xfId="0" applyFont="1" applyFill="1" applyBorder="1" applyAlignment="1">
      <alignment horizontal="center" wrapText="1"/>
    </xf>
    <xf numFmtId="0" fontId="13" fillId="11" borderId="36" xfId="0" applyFont="1" applyFill="1" applyBorder="1" applyAlignment="1">
      <alignment horizontal="center" wrapText="1"/>
    </xf>
    <xf numFmtId="0" fontId="13" fillId="7" borderId="40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wrapText="1"/>
    </xf>
    <xf numFmtId="0" fontId="13" fillId="7" borderId="41" xfId="0" applyFont="1" applyFill="1" applyBorder="1" applyAlignment="1">
      <alignment horizontal="center" wrapText="1"/>
    </xf>
    <xf numFmtId="0" fontId="13" fillId="7" borderId="12" xfId="0" applyFont="1" applyFill="1" applyBorder="1" applyAlignment="1">
      <alignment wrapText="1"/>
    </xf>
    <xf numFmtId="0" fontId="13" fillId="7" borderId="11" xfId="0" applyFont="1" applyFill="1" applyBorder="1" applyAlignment="1">
      <alignment vertical="center" wrapText="1"/>
    </xf>
    <xf numFmtId="3" fontId="13" fillId="7" borderId="11" xfId="0" applyNumberFormat="1" applyFont="1" applyFill="1" applyBorder="1" applyAlignment="1">
      <alignment horizontal="center"/>
    </xf>
    <xf numFmtId="3" fontId="13" fillId="7" borderId="23" xfId="0" applyNumberFormat="1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3" fontId="13" fillId="7" borderId="35" xfId="0" applyNumberFormat="1" applyFont="1" applyFill="1" applyBorder="1" applyAlignment="1">
      <alignment horizontal="center"/>
    </xf>
    <xf numFmtId="3" fontId="13" fillId="7" borderId="36" xfId="0" applyNumberFormat="1" applyFont="1" applyFill="1" applyBorder="1" applyAlignment="1">
      <alignment horizontal="center"/>
    </xf>
    <xf numFmtId="0" fontId="12" fillId="7" borderId="34" xfId="0" applyFont="1" applyFill="1" applyBorder="1" applyAlignment="1">
      <alignment/>
    </xf>
    <xf numFmtId="0" fontId="13" fillId="7" borderId="35" xfId="0" applyFont="1" applyFill="1" applyBorder="1" applyAlignment="1">
      <alignment vertical="center" wrapText="1"/>
    </xf>
    <xf numFmtId="0" fontId="5" fillId="7" borderId="35" xfId="0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wrapText="1"/>
    </xf>
    <xf numFmtId="0" fontId="7" fillId="7" borderId="42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wrapText="1" indent="2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13" fillId="7" borderId="34" xfId="0" applyFont="1" applyFill="1" applyBorder="1" applyAlignment="1">
      <alignment horizontal="center" wrapText="1"/>
    </xf>
    <xf numFmtId="3" fontId="3" fillId="0" borderId="2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1" fillId="7" borderId="4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38" fillId="11" borderId="44" xfId="0" applyFont="1" applyFill="1" applyBorder="1" applyAlignment="1">
      <alignment horizontal="center" vertical="center"/>
    </xf>
    <xf numFmtId="0" fontId="38" fillId="11" borderId="44" xfId="0" applyFont="1" applyFill="1" applyBorder="1" applyAlignment="1">
      <alignment vertical="center"/>
    </xf>
    <xf numFmtId="0" fontId="38" fillId="11" borderId="4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8" fillId="11" borderId="46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44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/>
    </xf>
    <xf numFmtId="10" fontId="18" fillId="0" borderId="49" xfId="0" applyNumberFormat="1" applyFont="1" applyFill="1" applyBorder="1" applyAlignment="1">
      <alignment horizontal="center"/>
    </xf>
    <xf numFmtId="3" fontId="39" fillId="0" borderId="49" xfId="0" applyNumberFormat="1" applyFont="1" applyFill="1" applyBorder="1" applyAlignment="1">
      <alignment/>
    </xf>
    <xf numFmtId="0" fontId="39" fillId="0" borderId="49" xfId="0" applyFont="1" applyFill="1" applyBorder="1" applyAlignment="1">
      <alignment/>
    </xf>
    <xf numFmtId="0" fontId="39" fillId="0" borderId="49" xfId="0" applyFont="1" applyBorder="1" applyAlignment="1">
      <alignment/>
    </xf>
    <xf numFmtId="0" fontId="39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Fill="1" applyBorder="1" applyAlignment="1">
      <alignment/>
    </xf>
    <xf numFmtId="14" fontId="18" fillId="0" borderId="44" xfId="0" applyNumberFormat="1" applyFont="1" applyFill="1" applyBorder="1" applyAlignment="1">
      <alignment horizontal="center"/>
    </xf>
    <xf numFmtId="14" fontId="18" fillId="0" borderId="49" xfId="0" applyNumberFormat="1" applyFont="1" applyFill="1" applyBorder="1" applyAlignment="1">
      <alignment horizontal="center"/>
    </xf>
    <xf numFmtId="0" fontId="39" fillId="0" borderId="44" xfId="0" applyFont="1" applyFill="1" applyBorder="1" applyAlignment="1">
      <alignment/>
    </xf>
    <xf numFmtId="0" fontId="39" fillId="0" borderId="44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8" xfId="0" applyFont="1" applyFill="1" applyBorder="1" applyAlignment="1">
      <alignment/>
    </xf>
    <xf numFmtId="0" fontId="39" fillId="0" borderId="50" xfId="0" applyFont="1" applyFill="1" applyBorder="1" applyAlignment="1">
      <alignment/>
    </xf>
    <xf numFmtId="10" fontId="18" fillId="0" borderId="44" xfId="0" applyNumberFormat="1" applyFont="1" applyFill="1" applyBorder="1" applyAlignment="1">
      <alignment horizontal="center"/>
    </xf>
    <xf numFmtId="178" fontId="18" fillId="0" borderId="49" xfId="0" applyNumberFormat="1" applyFont="1" applyFill="1" applyBorder="1" applyAlignment="1">
      <alignment horizontal="center"/>
    </xf>
    <xf numFmtId="0" fontId="18" fillId="22" borderId="52" xfId="0" applyFont="1" applyFill="1" applyBorder="1" applyAlignment="1">
      <alignment/>
    </xf>
    <xf numFmtId="175" fontId="40" fillId="22" borderId="44" xfId="0" applyNumberFormat="1" applyFont="1" applyFill="1" applyBorder="1" applyAlignment="1">
      <alignment horizontal="center"/>
    </xf>
    <xf numFmtId="175" fontId="40" fillId="22" borderId="44" xfId="0" applyNumberFormat="1" applyFont="1" applyFill="1" applyBorder="1" applyAlignment="1">
      <alignment horizontal="right"/>
    </xf>
    <xf numFmtId="175" fontId="38" fillId="22" borderId="45" xfId="0" applyNumberFormat="1" applyFont="1" applyFill="1" applyBorder="1" applyAlignment="1">
      <alignment/>
    </xf>
    <xf numFmtId="0" fontId="18" fillId="22" borderId="53" xfId="0" applyFont="1" applyFill="1" applyBorder="1" applyAlignment="1">
      <alignment horizontal="center"/>
    </xf>
    <xf numFmtId="0" fontId="16" fillId="22" borderId="54" xfId="0" applyFont="1" applyFill="1" applyBorder="1" applyAlignment="1">
      <alignment horizontal="center"/>
    </xf>
    <xf numFmtId="175" fontId="40" fillId="22" borderId="54" xfId="0" applyNumberFormat="1" applyFont="1" applyFill="1" applyBorder="1" applyAlignment="1">
      <alignment horizontal="right"/>
    </xf>
    <xf numFmtId="175" fontId="38" fillId="22" borderId="55" xfId="0" applyNumberFormat="1" applyFont="1" applyFill="1" applyBorder="1" applyAlignment="1">
      <alignment/>
    </xf>
    <xf numFmtId="0" fontId="40" fillId="22" borderId="56" xfId="0" applyFont="1" applyFill="1" applyBorder="1" applyAlignment="1">
      <alignment horizontal="center"/>
    </xf>
    <xf numFmtId="0" fontId="40" fillId="22" borderId="57" xfId="0" applyFont="1" applyFill="1" applyBorder="1" applyAlignment="1">
      <alignment horizontal="center"/>
    </xf>
    <xf numFmtId="175" fontId="40" fillId="22" borderId="57" xfId="0" applyNumberFormat="1" applyFont="1" applyFill="1" applyBorder="1" applyAlignment="1">
      <alignment/>
    </xf>
    <xf numFmtId="175" fontId="40" fillId="22" borderId="58" xfId="0" applyNumberFormat="1" applyFont="1" applyFill="1" applyBorder="1" applyAlignment="1">
      <alignment/>
    </xf>
    <xf numFmtId="0" fontId="2" fillId="22" borderId="59" xfId="0" applyFont="1" applyFill="1" applyBorder="1" applyAlignment="1">
      <alignment/>
    </xf>
    <xf numFmtId="0" fontId="16" fillId="22" borderId="60" xfId="0" applyFont="1" applyFill="1" applyBorder="1" applyAlignment="1">
      <alignment horizontal="center"/>
    </xf>
    <xf numFmtId="10" fontId="17" fillId="22" borderId="60" xfId="60" applyNumberFormat="1" applyFont="1" applyFill="1" applyBorder="1" applyAlignment="1">
      <alignment/>
    </xf>
    <xf numFmtId="0" fontId="14" fillId="0" borderId="11" xfId="0" applyFont="1" applyBorder="1" applyAlignment="1">
      <alignment horizontal="left" wrapText="1" indent="2"/>
    </xf>
    <xf numFmtId="0" fontId="6" fillId="0" borderId="16" xfId="0" applyFont="1" applyBorder="1" applyAlignment="1">
      <alignment horizontal="right" wrapText="1"/>
    </xf>
    <xf numFmtId="0" fontId="6" fillId="0" borderId="14" xfId="0" applyFont="1" applyBorder="1" applyAlignment="1">
      <alignment horizontal="left" wrapText="1" indent="2"/>
    </xf>
    <xf numFmtId="3" fontId="1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wrapText="1"/>
    </xf>
    <xf numFmtId="0" fontId="5" fillId="0" borderId="17" xfId="0" applyFont="1" applyBorder="1" applyAlignment="1">
      <alignment/>
    </xf>
    <xf numFmtId="3" fontId="12" fillId="0" borderId="15" xfId="0" applyNumberFormat="1" applyFont="1" applyBorder="1" applyAlignment="1">
      <alignment horizontal="center"/>
    </xf>
    <xf numFmtId="0" fontId="44" fillId="0" borderId="34" xfId="0" applyFont="1" applyBorder="1" applyAlignment="1">
      <alignment/>
    </xf>
    <xf numFmtId="0" fontId="42" fillId="0" borderId="35" xfId="0" applyFont="1" applyBorder="1" applyAlignment="1">
      <alignment horizontal="center" wrapText="1"/>
    </xf>
    <xf numFmtId="3" fontId="42" fillId="0" borderId="35" xfId="0" applyNumberFormat="1" applyFont="1" applyBorder="1" applyAlignment="1">
      <alignment horizontal="center"/>
    </xf>
    <xf numFmtId="3" fontId="42" fillId="0" borderId="35" xfId="0" applyNumberFormat="1" applyFont="1" applyFill="1" applyBorder="1" applyAlignment="1">
      <alignment horizontal="center"/>
    </xf>
    <xf numFmtId="3" fontId="42" fillId="0" borderId="3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 indent="2"/>
    </xf>
    <xf numFmtId="3" fontId="1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11" borderId="33" xfId="0" applyFont="1" applyFill="1" applyBorder="1" applyAlignment="1">
      <alignment horizontal="center" wrapText="1"/>
    </xf>
    <xf numFmtId="0" fontId="13" fillId="11" borderId="61" xfId="0" applyFont="1" applyFill="1" applyBorder="1" applyAlignment="1">
      <alignment horizontal="center" wrapText="1"/>
    </xf>
    <xf numFmtId="0" fontId="48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vertical="center" wrapText="1"/>
    </xf>
    <xf numFmtId="3" fontId="48" fillId="0" borderId="13" xfId="0" applyNumberFormat="1" applyFont="1" applyFill="1" applyBorder="1" applyAlignment="1">
      <alignment horizontal="center"/>
    </xf>
    <xf numFmtId="3" fontId="48" fillId="0" borderId="22" xfId="0" applyNumberFormat="1" applyFont="1" applyFill="1" applyBorder="1" applyAlignment="1">
      <alignment horizontal="center"/>
    </xf>
    <xf numFmtId="0" fontId="13" fillId="7" borderId="13" xfId="0" applyFont="1" applyFill="1" applyBorder="1" applyAlignment="1">
      <alignment wrapText="1"/>
    </xf>
    <xf numFmtId="0" fontId="13" fillId="7" borderId="13" xfId="0" applyFont="1" applyFill="1" applyBorder="1" applyAlignment="1">
      <alignment vertical="center" wrapText="1"/>
    </xf>
    <xf numFmtId="3" fontId="13" fillId="7" borderId="13" xfId="0" applyNumberFormat="1" applyFont="1" applyFill="1" applyBorder="1" applyAlignment="1">
      <alignment horizontal="center"/>
    </xf>
    <xf numFmtId="0" fontId="14" fillId="0" borderId="33" xfId="0" applyFont="1" applyBorder="1" applyAlignment="1">
      <alignment vertical="center" wrapText="1"/>
    </xf>
    <xf numFmtId="3" fontId="12" fillId="0" borderId="22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56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7" borderId="62" xfId="0" applyFont="1" applyFill="1" applyBorder="1" applyAlignment="1">
      <alignment horizontal="center"/>
    </xf>
    <xf numFmtId="0" fontId="13" fillId="7" borderId="63" xfId="0" applyFont="1" applyFill="1" applyBorder="1" applyAlignment="1">
      <alignment horizontal="center"/>
    </xf>
    <xf numFmtId="0" fontId="13" fillId="7" borderId="64" xfId="0" applyFont="1" applyFill="1" applyBorder="1" applyAlignment="1">
      <alignment horizontal="center"/>
    </xf>
    <xf numFmtId="0" fontId="13" fillId="7" borderId="65" xfId="0" applyFont="1" applyFill="1" applyBorder="1" applyAlignment="1">
      <alignment horizontal="center" wrapText="1"/>
    </xf>
    <xf numFmtId="0" fontId="13" fillId="7" borderId="40" xfId="0" applyFont="1" applyFill="1" applyBorder="1" applyAlignment="1">
      <alignment horizontal="center" wrapText="1"/>
    </xf>
    <xf numFmtId="0" fontId="13" fillId="7" borderId="66" xfId="0" applyFont="1" applyFill="1" applyBorder="1" applyAlignment="1">
      <alignment horizontal="center" wrapText="1"/>
    </xf>
    <xf numFmtId="0" fontId="13" fillId="7" borderId="4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11" borderId="62" xfId="0" applyFont="1" applyFill="1" applyBorder="1" applyAlignment="1">
      <alignment horizontal="center"/>
    </xf>
    <xf numFmtId="0" fontId="50" fillId="11" borderId="63" xfId="0" applyFont="1" applyFill="1" applyBorder="1" applyAlignment="1">
      <alignment horizontal="center"/>
    </xf>
    <xf numFmtId="0" fontId="50" fillId="11" borderId="64" xfId="0" applyFont="1" applyFill="1" applyBorder="1" applyAlignment="1">
      <alignment horizontal="center"/>
    </xf>
    <xf numFmtId="0" fontId="13" fillId="11" borderId="66" xfId="0" applyFont="1" applyFill="1" applyBorder="1" applyAlignment="1">
      <alignment horizontal="center" wrapText="1"/>
    </xf>
    <xf numFmtId="0" fontId="50" fillId="11" borderId="21" xfId="0" applyFont="1" applyFill="1" applyBorder="1" applyAlignment="1">
      <alignment/>
    </xf>
    <xf numFmtId="0" fontId="13" fillId="11" borderId="65" xfId="0" applyFont="1" applyFill="1" applyBorder="1" applyAlignment="1">
      <alignment horizontal="center" vertical="center" wrapText="1"/>
    </xf>
    <xf numFmtId="0" fontId="50" fillId="11" borderId="15" xfId="0" applyFont="1" applyFill="1" applyBorder="1" applyAlignment="1">
      <alignment horizontal="center" vertical="center" wrapText="1"/>
    </xf>
    <xf numFmtId="0" fontId="13" fillId="11" borderId="65" xfId="0" applyFont="1" applyFill="1" applyBorder="1" applyAlignment="1">
      <alignment horizontal="center" wrapText="1"/>
    </xf>
    <xf numFmtId="0" fontId="50" fillId="11" borderId="15" xfId="0" applyFont="1" applyFill="1" applyBorder="1" applyAlignment="1">
      <alignment/>
    </xf>
    <xf numFmtId="175" fontId="18" fillId="0" borderId="44" xfId="44" applyNumberFormat="1" applyFont="1" applyFill="1" applyBorder="1" applyAlignment="1">
      <alignment horizontal="center" vertical="center"/>
    </xf>
    <xf numFmtId="175" fontId="18" fillId="0" borderId="49" xfId="44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175" fontId="18" fillId="0" borderId="44" xfId="44" applyNumberFormat="1" applyFont="1" applyFill="1" applyBorder="1" applyAlignment="1">
      <alignment horizontal="center" vertical="center" wrapText="1"/>
    </xf>
    <xf numFmtId="175" fontId="18" fillId="0" borderId="49" xfId="44" applyNumberFormat="1" applyFont="1" applyFill="1" applyBorder="1" applyAlignment="1">
      <alignment horizontal="center" vertical="center" wrapText="1"/>
    </xf>
    <xf numFmtId="3" fontId="18" fillId="0" borderId="44" xfId="0" applyNumberFormat="1" applyFont="1" applyFill="1" applyBorder="1" applyAlignment="1">
      <alignment horizontal="center" vertical="center"/>
    </xf>
    <xf numFmtId="3" fontId="18" fillId="0" borderId="4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16" fillId="22" borderId="60" xfId="0" applyFont="1" applyFill="1" applyBorder="1" applyAlignment="1">
      <alignment horizontal="left"/>
    </xf>
    <xf numFmtId="0" fontId="0" fillId="22" borderId="60" xfId="0" applyFill="1" applyBorder="1" applyAlignment="1">
      <alignment/>
    </xf>
    <xf numFmtId="0" fontId="16" fillId="22" borderId="48" xfId="0" applyFont="1" applyFill="1" applyBorder="1" applyAlignment="1">
      <alignment horizontal="left"/>
    </xf>
    <xf numFmtId="0" fontId="16" fillId="22" borderId="67" xfId="0" applyFont="1" applyFill="1" applyBorder="1" applyAlignment="1">
      <alignment horizontal="left"/>
    </xf>
    <xf numFmtId="0" fontId="16" fillId="22" borderId="68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0" fontId="38" fillId="11" borderId="52" xfId="0" applyFont="1" applyFill="1" applyBorder="1" applyAlignment="1">
      <alignment horizontal="center" vertical="center" wrapText="1"/>
    </xf>
    <xf numFmtId="0" fontId="38" fillId="11" borderId="70" xfId="0" applyFont="1" applyFill="1" applyBorder="1" applyAlignment="1">
      <alignment horizontal="center" vertical="center" wrapText="1"/>
    </xf>
    <xf numFmtId="0" fontId="38" fillId="11" borderId="44" xfId="0" applyFont="1" applyFill="1" applyBorder="1" applyAlignment="1">
      <alignment horizontal="center" vertical="center" wrapText="1"/>
    </xf>
    <xf numFmtId="0" fontId="38" fillId="11" borderId="46" xfId="0" applyFont="1" applyFill="1" applyBorder="1" applyAlignment="1">
      <alignment horizontal="center" vertical="center" wrapText="1"/>
    </xf>
    <xf numFmtId="0" fontId="38" fillId="11" borderId="44" xfId="0" applyFont="1" applyFill="1" applyBorder="1" applyAlignment="1">
      <alignment horizontal="center" vertical="center"/>
    </xf>
    <xf numFmtId="0" fontId="38" fillId="11" borderId="46" xfId="0" applyFont="1" applyFill="1" applyBorder="1" applyAlignment="1">
      <alignment horizontal="center" vertical="center"/>
    </xf>
    <xf numFmtId="175" fontId="16" fillId="22" borderId="71" xfId="0" applyNumberFormat="1" applyFont="1" applyFill="1" applyBorder="1" applyAlignment="1">
      <alignment horizontal="left"/>
    </xf>
    <xf numFmtId="175" fontId="16" fillId="22" borderId="72" xfId="0" applyNumberFormat="1" applyFont="1" applyFill="1" applyBorder="1" applyAlignment="1">
      <alignment horizontal="left"/>
    </xf>
    <xf numFmtId="175" fontId="16" fillId="22" borderId="73" xfId="0" applyNumberFormat="1" applyFont="1" applyFill="1" applyBorder="1" applyAlignment="1">
      <alignment horizontal="left"/>
    </xf>
    <xf numFmtId="175" fontId="40" fillId="22" borderId="57" xfId="0" applyNumberFormat="1" applyFont="1" applyFill="1" applyBorder="1" applyAlignment="1">
      <alignment horizontal="left"/>
    </xf>
    <xf numFmtId="0" fontId="40" fillId="22" borderId="57" xfId="0" applyFont="1" applyFill="1" applyBorder="1" applyAlignment="1">
      <alignment horizontal="left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175" fontId="18" fillId="0" borderId="74" xfId="44" applyNumberFormat="1" applyFont="1" applyFill="1" applyBorder="1" applyAlignment="1">
      <alignment horizontal="center" vertical="center"/>
    </xf>
    <xf numFmtId="175" fontId="18" fillId="0" borderId="75" xfId="44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7">
      <selection activeCell="C75" sqref="C75"/>
    </sheetView>
  </sheetViews>
  <sheetFormatPr defaultColWidth="9.140625" defaultRowHeight="12.75"/>
  <cols>
    <col min="1" max="1" width="12.140625" style="1" customWidth="1"/>
    <col min="2" max="2" width="69.7109375" style="1" customWidth="1"/>
    <col min="3" max="4" width="17.28125" style="1" customWidth="1"/>
    <col min="5" max="5" width="9.140625" style="1" customWidth="1"/>
    <col min="6" max="6" width="42.421875" style="1" customWidth="1"/>
    <col min="7" max="16384" width="9.140625" style="1" customWidth="1"/>
  </cols>
  <sheetData>
    <row r="1" spans="1:4" ht="15.75">
      <c r="A1" s="85"/>
      <c r="B1" s="85"/>
      <c r="C1" s="315" t="s">
        <v>87</v>
      </c>
      <c r="D1" s="17"/>
    </row>
    <row r="2" spans="1:4" ht="15.75">
      <c r="A2" s="85"/>
      <c r="B2" s="85"/>
      <c r="C2" s="315" t="s">
        <v>656</v>
      </c>
      <c r="D2" s="17"/>
    </row>
    <row r="3" spans="1:4" ht="15.75">
      <c r="A3" s="85"/>
      <c r="B3" s="85"/>
      <c r="C3" s="315" t="s">
        <v>657</v>
      </c>
      <c r="D3" s="17"/>
    </row>
    <row r="4" spans="1:4" ht="15.75">
      <c r="A4" s="85"/>
      <c r="B4" s="85"/>
      <c r="C4" s="185"/>
      <c r="D4" s="17"/>
    </row>
    <row r="5" spans="1:5" ht="20.25">
      <c r="A5" s="335" t="s">
        <v>500</v>
      </c>
      <c r="B5" s="335"/>
      <c r="C5" s="335"/>
      <c r="D5" s="133"/>
      <c r="E5" s="46"/>
    </row>
    <row r="6" spans="1:3" ht="18.75">
      <c r="A6" s="85"/>
      <c r="B6" s="176" t="s">
        <v>21</v>
      </c>
      <c r="C6" s="85"/>
    </row>
    <row r="7" spans="1:5" ht="16.5" thickBot="1">
      <c r="A7" s="85"/>
      <c r="B7" s="175"/>
      <c r="C7" s="186" t="s">
        <v>22</v>
      </c>
      <c r="D7" s="177"/>
      <c r="E7" s="178"/>
    </row>
    <row r="8" spans="1:5" s="88" customFormat="1" ht="30" thickBot="1">
      <c r="A8" s="209" t="s">
        <v>375</v>
      </c>
      <c r="B8" s="210" t="s">
        <v>144</v>
      </c>
      <c r="C8" s="211" t="s">
        <v>499</v>
      </c>
      <c r="D8" s="179"/>
      <c r="E8" s="180"/>
    </row>
    <row r="9" spans="1:5" ht="19.5" thickBot="1">
      <c r="A9" s="188"/>
      <c r="B9" s="189" t="s">
        <v>201</v>
      </c>
      <c r="C9" s="190">
        <f>C10+C19+C49+C57</f>
        <v>33483241</v>
      </c>
      <c r="D9" s="181"/>
      <c r="E9" s="178"/>
    </row>
    <row r="10" spans="1:5" ht="16.5" thickBot="1">
      <c r="A10" s="197"/>
      <c r="B10" s="198" t="s">
        <v>197</v>
      </c>
      <c r="C10" s="199">
        <f>C11+C14+C18</f>
        <v>23615133</v>
      </c>
      <c r="D10" s="141"/>
      <c r="E10" s="178"/>
    </row>
    <row r="11" spans="1:5" ht="16.5" thickTop="1">
      <c r="A11" s="73" t="s">
        <v>42</v>
      </c>
      <c r="B11" s="19" t="s">
        <v>23</v>
      </c>
      <c r="C11" s="50">
        <f>C12+C13</f>
        <v>21099273</v>
      </c>
      <c r="D11" s="141"/>
      <c r="E11" s="178"/>
    </row>
    <row r="12" spans="1:5" ht="31.5">
      <c r="A12" s="74" t="s">
        <v>235</v>
      </c>
      <c r="B12" s="229" t="s">
        <v>185</v>
      </c>
      <c r="C12" s="49">
        <v>224167</v>
      </c>
      <c r="D12" s="144"/>
      <c r="E12" s="178"/>
    </row>
    <row r="13" spans="1:5" ht="31.5">
      <c r="A13" s="74" t="s">
        <v>238</v>
      </c>
      <c r="B13" s="229" t="s">
        <v>186</v>
      </c>
      <c r="C13" s="49">
        <v>20875106</v>
      </c>
      <c r="D13" s="144"/>
      <c r="E13" s="178"/>
    </row>
    <row r="14" spans="1:5" ht="15.75">
      <c r="A14" s="18" t="s">
        <v>376</v>
      </c>
      <c r="B14" s="5" t="s">
        <v>24</v>
      </c>
      <c r="C14" s="51">
        <f>C15+C16+C17</f>
        <v>2335860</v>
      </c>
      <c r="D14" s="141"/>
      <c r="E14" s="178"/>
    </row>
    <row r="15" spans="1:5" ht="15.75">
      <c r="A15" s="74" t="s">
        <v>377</v>
      </c>
      <c r="B15" s="229" t="s">
        <v>25</v>
      </c>
      <c r="C15" s="52">
        <v>901416</v>
      </c>
      <c r="D15" s="144"/>
      <c r="E15" s="178"/>
    </row>
    <row r="16" spans="1:5" ht="15.75">
      <c r="A16" s="312" t="s">
        <v>378</v>
      </c>
      <c r="B16" s="313" t="s">
        <v>145</v>
      </c>
      <c r="C16" s="314">
        <v>942334</v>
      </c>
      <c r="D16" s="144"/>
      <c r="E16" s="178"/>
    </row>
    <row r="17" spans="1:5" ht="15.75">
      <c r="A17" s="312" t="s">
        <v>379</v>
      </c>
      <c r="B17" s="313" t="s">
        <v>233</v>
      </c>
      <c r="C17" s="314">
        <v>492110</v>
      </c>
      <c r="D17" s="144"/>
      <c r="E17" s="178"/>
    </row>
    <row r="18" spans="1:5" ht="15.75">
      <c r="A18" s="75" t="s">
        <v>380</v>
      </c>
      <c r="B18" s="5" t="s">
        <v>0</v>
      </c>
      <c r="C18" s="51">
        <v>180000</v>
      </c>
      <c r="D18" s="141"/>
      <c r="E18" s="178"/>
    </row>
    <row r="19" spans="1:5" ht="16.5" thickBot="1">
      <c r="A19" s="194"/>
      <c r="B19" s="195" t="s">
        <v>198</v>
      </c>
      <c r="C19" s="196">
        <f>C20+C22+C36+C39+C46</f>
        <v>217550</v>
      </c>
      <c r="D19" s="141"/>
      <c r="E19" s="178"/>
    </row>
    <row r="20" spans="1:5" ht="16.5" thickTop="1">
      <c r="A20" s="76" t="s">
        <v>37</v>
      </c>
      <c r="B20" s="19" t="s">
        <v>26</v>
      </c>
      <c r="C20" s="50">
        <f>C21</f>
        <v>6000</v>
      </c>
      <c r="D20" s="141"/>
      <c r="E20" s="178"/>
    </row>
    <row r="21" spans="1:5" ht="15.75">
      <c r="A21" s="74" t="s">
        <v>381</v>
      </c>
      <c r="B21" s="229" t="s">
        <v>146</v>
      </c>
      <c r="C21" s="52">
        <v>6000</v>
      </c>
      <c r="D21" s="144"/>
      <c r="E21" s="178"/>
    </row>
    <row r="22" spans="1:5" ht="15.75">
      <c r="A22" s="18" t="s">
        <v>38</v>
      </c>
      <c r="B22" s="5" t="s">
        <v>27</v>
      </c>
      <c r="C22" s="51">
        <f>C23+C28</f>
        <v>47450</v>
      </c>
      <c r="D22" s="141"/>
      <c r="E22" s="178"/>
    </row>
    <row r="23" spans="1:5" ht="15.75">
      <c r="A23" s="71" t="s">
        <v>382</v>
      </c>
      <c r="B23" s="72" t="s">
        <v>1</v>
      </c>
      <c r="C23" s="51">
        <f>SUM(C25+C26+C27+C24)</f>
        <v>14500</v>
      </c>
      <c r="D23" s="141"/>
      <c r="E23" s="178"/>
    </row>
    <row r="24" spans="1:4" ht="31.5">
      <c r="A24" s="74" t="s">
        <v>383</v>
      </c>
      <c r="B24" s="229" t="s">
        <v>497</v>
      </c>
      <c r="C24" s="52">
        <v>1500</v>
      </c>
      <c r="D24" s="135"/>
    </row>
    <row r="25" spans="1:4" ht="31.5">
      <c r="A25" s="74" t="s">
        <v>384</v>
      </c>
      <c r="B25" s="229" t="s">
        <v>147</v>
      </c>
      <c r="C25" s="53">
        <v>4000</v>
      </c>
      <c r="D25" s="136"/>
    </row>
    <row r="26" spans="1:4" ht="15.75">
      <c r="A26" s="74" t="s">
        <v>385</v>
      </c>
      <c r="B26" s="229" t="s">
        <v>148</v>
      </c>
      <c r="C26" s="53">
        <v>3000</v>
      </c>
      <c r="D26" s="136"/>
    </row>
    <row r="27" spans="1:4" ht="15.75">
      <c r="A27" s="74" t="s">
        <v>386</v>
      </c>
      <c r="B27" s="229" t="s">
        <v>187</v>
      </c>
      <c r="C27" s="53">
        <v>6000</v>
      </c>
      <c r="D27" s="136"/>
    </row>
    <row r="28" spans="1:4" ht="15.75">
      <c r="A28" s="71" t="s">
        <v>387</v>
      </c>
      <c r="B28" s="72" t="s">
        <v>2</v>
      </c>
      <c r="C28" s="51">
        <f>SUM(C29+C30+C31+C32+C33+C34+C35)</f>
        <v>32950</v>
      </c>
      <c r="D28" s="134"/>
    </row>
    <row r="29" spans="1:4" ht="31.5">
      <c r="A29" s="74" t="s">
        <v>95</v>
      </c>
      <c r="B29" s="229" t="s">
        <v>642</v>
      </c>
      <c r="C29" s="53">
        <v>15000</v>
      </c>
      <c r="D29" s="136"/>
    </row>
    <row r="30" spans="1:4" ht="31.5">
      <c r="A30" s="74" t="s">
        <v>96</v>
      </c>
      <c r="B30" s="229" t="s">
        <v>149</v>
      </c>
      <c r="C30" s="53">
        <v>500</v>
      </c>
      <c r="D30" s="136"/>
    </row>
    <row r="31" spans="1:4" ht="15.75">
      <c r="A31" s="74" t="s">
        <v>118</v>
      </c>
      <c r="B31" s="229" t="s">
        <v>150</v>
      </c>
      <c r="C31" s="53">
        <v>5300</v>
      </c>
      <c r="D31" s="136"/>
    </row>
    <row r="32" spans="1:4" ht="15.75">
      <c r="A32" s="74" t="s">
        <v>388</v>
      </c>
      <c r="B32" s="229" t="s">
        <v>151</v>
      </c>
      <c r="C32" s="53">
        <v>150</v>
      </c>
      <c r="D32" s="136"/>
    </row>
    <row r="33" spans="1:4" ht="31.5">
      <c r="A33" s="74" t="s">
        <v>389</v>
      </c>
      <c r="B33" s="229" t="s">
        <v>152</v>
      </c>
      <c r="C33" s="53">
        <v>3000</v>
      </c>
      <c r="D33" s="136"/>
    </row>
    <row r="34" spans="1:4" ht="15.75">
      <c r="A34" s="74" t="s">
        <v>258</v>
      </c>
      <c r="B34" s="229" t="s">
        <v>153</v>
      </c>
      <c r="C34" s="53">
        <v>8000</v>
      </c>
      <c r="D34" s="136"/>
    </row>
    <row r="35" spans="1:4" ht="15.75">
      <c r="A35" s="74" t="s">
        <v>570</v>
      </c>
      <c r="B35" s="229" t="s">
        <v>643</v>
      </c>
      <c r="C35" s="53">
        <v>1000</v>
      </c>
      <c r="D35" s="136"/>
    </row>
    <row r="36" spans="1:4" ht="15.75">
      <c r="A36" s="18" t="s">
        <v>39</v>
      </c>
      <c r="B36" s="5" t="s">
        <v>3</v>
      </c>
      <c r="C36" s="51">
        <f>SUM(C37+C38)</f>
        <v>125000</v>
      </c>
      <c r="D36" s="134"/>
    </row>
    <row r="37" spans="1:4" ht="15.75">
      <c r="A37" s="77" t="s">
        <v>390</v>
      </c>
      <c r="B37" s="229" t="s">
        <v>154</v>
      </c>
      <c r="C37" s="52">
        <v>75000</v>
      </c>
      <c r="D37" s="135"/>
    </row>
    <row r="38" spans="1:4" ht="15.75">
      <c r="A38" s="77" t="s">
        <v>391</v>
      </c>
      <c r="B38" s="229" t="s">
        <v>155</v>
      </c>
      <c r="C38" s="52">
        <v>50000</v>
      </c>
      <c r="D38" s="135"/>
    </row>
    <row r="39" spans="1:4" ht="15.75">
      <c r="A39" s="18" t="s">
        <v>392</v>
      </c>
      <c r="B39" s="5" t="s">
        <v>4</v>
      </c>
      <c r="C39" s="51">
        <f>C40+C44</f>
        <v>16100</v>
      </c>
      <c r="D39" s="134"/>
    </row>
    <row r="40" spans="1:4" ht="15.75">
      <c r="A40" s="71" t="s">
        <v>393</v>
      </c>
      <c r="B40" s="72" t="s">
        <v>161</v>
      </c>
      <c r="C40" s="51">
        <f>C41+C43+C42</f>
        <v>15100</v>
      </c>
      <c r="D40" s="134"/>
    </row>
    <row r="41" spans="1:4" ht="15.75">
      <c r="A41" s="74" t="s">
        <v>394</v>
      </c>
      <c r="B41" s="229" t="s">
        <v>644</v>
      </c>
      <c r="C41" s="52">
        <v>10000</v>
      </c>
      <c r="D41" s="135"/>
    </row>
    <row r="42" spans="1:4" ht="15.75">
      <c r="A42" s="74" t="s">
        <v>395</v>
      </c>
      <c r="B42" s="229" t="s">
        <v>234</v>
      </c>
      <c r="C42" s="52">
        <v>100</v>
      </c>
      <c r="D42" s="135"/>
    </row>
    <row r="43" spans="1:4" ht="15.75">
      <c r="A43" s="74" t="s">
        <v>396</v>
      </c>
      <c r="B43" s="229" t="s">
        <v>645</v>
      </c>
      <c r="C43" s="52">
        <v>5000</v>
      </c>
      <c r="D43" s="135"/>
    </row>
    <row r="44" spans="1:4" ht="15.75">
      <c r="A44" s="78" t="s">
        <v>397</v>
      </c>
      <c r="B44" s="72" t="s">
        <v>250</v>
      </c>
      <c r="C44" s="51">
        <f>C45</f>
        <v>1000</v>
      </c>
      <c r="D44" s="134"/>
    </row>
    <row r="45" spans="1:4" ht="30">
      <c r="A45" s="74" t="s">
        <v>398</v>
      </c>
      <c r="B45" s="297" t="s">
        <v>203</v>
      </c>
      <c r="C45" s="52">
        <v>1000</v>
      </c>
      <c r="D45" s="135"/>
    </row>
    <row r="46" spans="1:4" ht="31.5">
      <c r="A46" s="18" t="s">
        <v>399</v>
      </c>
      <c r="B46" s="5" t="s">
        <v>156</v>
      </c>
      <c r="C46" s="51">
        <f>C47+C48</f>
        <v>23000</v>
      </c>
      <c r="D46" s="134"/>
    </row>
    <row r="47" spans="1:4" ht="15.75">
      <c r="A47" s="74" t="s">
        <v>400</v>
      </c>
      <c r="B47" s="229" t="s">
        <v>5</v>
      </c>
      <c r="C47" s="52">
        <v>3000</v>
      </c>
      <c r="D47" s="135"/>
    </row>
    <row r="48" spans="1:4" ht="15.75">
      <c r="A48" s="74" t="s">
        <v>401</v>
      </c>
      <c r="B48" s="229" t="s">
        <v>6</v>
      </c>
      <c r="C48" s="52">
        <v>20000</v>
      </c>
      <c r="D48" s="135"/>
    </row>
    <row r="49" spans="1:5" ht="16.5" thickBot="1">
      <c r="A49" s="191"/>
      <c r="B49" s="192" t="s">
        <v>199</v>
      </c>
      <c r="C49" s="193">
        <f>C50+C55</f>
        <v>8798777</v>
      </c>
      <c r="D49" s="141"/>
      <c r="E49" s="143"/>
    </row>
    <row r="50" spans="1:5" ht="16.5" thickTop="1">
      <c r="A50" s="76" t="s">
        <v>402</v>
      </c>
      <c r="B50" s="19" t="s">
        <v>28</v>
      </c>
      <c r="C50" s="50">
        <f>C51</f>
        <v>8202265</v>
      </c>
      <c r="D50" s="141"/>
      <c r="E50" s="143"/>
    </row>
    <row r="51" spans="1:5" ht="15.75">
      <c r="A51" s="71" t="s">
        <v>403</v>
      </c>
      <c r="B51" s="72" t="s">
        <v>473</v>
      </c>
      <c r="C51" s="51">
        <f>C52+C53+C54</f>
        <v>8202265</v>
      </c>
      <c r="D51" s="141"/>
      <c r="E51" s="143"/>
    </row>
    <row r="52" spans="1:5" ht="15.75">
      <c r="A52" s="14" t="s">
        <v>404</v>
      </c>
      <c r="B52" s="229" t="s">
        <v>472</v>
      </c>
      <c r="C52" s="52">
        <v>4593526</v>
      </c>
      <c r="D52" s="144"/>
      <c r="E52" s="143"/>
    </row>
    <row r="53" spans="1:5" ht="45">
      <c r="A53" s="14" t="s">
        <v>405</v>
      </c>
      <c r="B53" s="297" t="s">
        <v>474</v>
      </c>
      <c r="C53" s="52">
        <f>3420000+182419+6320</f>
        <v>3608739</v>
      </c>
      <c r="D53" s="144"/>
      <c r="E53" s="143"/>
    </row>
    <row r="54" spans="1:5" ht="15.75" hidden="1">
      <c r="A54" s="14" t="s">
        <v>406</v>
      </c>
      <c r="B54" s="229" t="s">
        <v>475</v>
      </c>
      <c r="C54" s="52"/>
      <c r="D54" s="144"/>
      <c r="E54" s="143"/>
    </row>
    <row r="55" spans="1:5" ht="15.75">
      <c r="A55" s="79" t="s">
        <v>407</v>
      </c>
      <c r="B55" s="5" t="s">
        <v>157</v>
      </c>
      <c r="C55" s="51">
        <f>SUM(C56)</f>
        <v>596512</v>
      </c>
      <c r="D55" s="141"/>
      <c r="E55" s="143"/>
    </row>
    <row r="56" spans="1:5" ht="16.5" thickBot="1">
      <c r="A56" s="298" t="s">
        <v>408</v>
      </c>
      <c r="B56" s="299" t="s">
        <v>476</v>
      </c>
      <c r="C56" s="300">
        <v>596512</v>
      </c>
      <c r="D56" s="141"/>
      <c r="E56" s="143"/>
    </row>
    <row r="57" spans="1:9" s="41" customFormat="1" ht="16.5" thickBot="1">
      <c r="A57" s="200"/>
      <c r="B57" s="201" t="s">
        <v>204</v>
      </c>
      <c r="C57" s="202">
        <f>SUM(C58)</f>
        <v>851781</v>
      </c>
      <c r="D57" s="142"/>
      <c r="E57" s="145"/>
      <c r="F57" s="182"/>
      <c r="G57" s="182"/>
      <c r="H57" s="182"/>
      <c r="I57" s="182"/>
    </row>
    <row r="58" spans="1:9" ht="16.5" thickTop="1">
      <c r="A58" s="80" t="s">
        <v>409</v>
      </c>
      <c r="B58" s="87" t="s">
        <v>410</v>
      </c>
      <c r="C58" s="54">
        <f>C59+C65</f>
        <v>851781</v>
      </c>
      <c r="D58" s="134"/>
      <c r="E58" s="85"/>
      <c r="F58" s="183"/>
      <c r="G58" s="135"/>
      <c r="H58" s="85"/>
      <c r="I58" s="85"/>
    </row>
    <row r="59" spans="1:9" ht="31.5">
      <c r="A59" s="81" t="s">
        <v>411</v>
      </c>
      <c r="B59" s="86" t="s">
        <v>20</v>
      </c>
      <c r="C59" s="50">
        <f>C60+C61+C62+C63+C64</f>
        <v>819681</v>
      </c>
      <c r="D59" s="134"/>
      <c r="E59" s="85"/>
      <c r="F59" s="183"/>
      <c r="G59" s="135"/>
      <c r="H59" s="85"/>
      <c r="I59" s="85"/>
    </row>
    <row r="60" spans="1:9" ht="31.5">
      <c r="A60" s="74" t="s">
        <v>412</v>
      </c>
      <c r="B60" s="229" t="s">
        <v>158</v>
      </c>
      <c r="C60" s="52">
        <v>50</v>
      </c>
      <c r="D60" s="135"/>
      <c r="E60" s="85"/>
      <c r="F60" s="183"/>
      <c r="G60" s="135"/>
      <c r="H60" s="85"/>
      <c r="I60" s="85"/>
    </row>
    <row r="61" spans="1:9" ht="15.75">
      <c r="A61" s="74" t="s">
        <v>413</v>
      </c>
      <c r="B61" s="229" t="s">
        <v>7</v>
      </c>
      <c r="C61" s="52">
        <v>164240</v>
      </c>
      <c r="D61" s="135"/>
      <c r="E61" s="85"/>
      <c r="F61" s="182"/>
      <c r="G61" s="184"/>
      <c r="H61" s="85"/>
      <c r="I61" s="85"/>
    </row>
    <row r="62" spans="1:9" ht="15.75">
      <c r="A62" s="74" t="s">
        <v>414</v>
      </c>
      <c r="B62" s="229" t="s">
        <v>8</v>
      </c>
      <c r="C62" s="52">
        <v>930</v>
      </c>
      <c r="D62" s="135"/>
      <c r="E62" s="85"/>
      <c r="F62" s="85"/>
      <c r="G62" s="85"/>
      <c r="H62" s="85"/>
      <c r="I62" s="85"/>
    </row>
    <row r="63" spans="1:9" ht="15.75">
      <c r="A63" s="74" t="s">
        <v>415</v>
      </c>
      <c r="B63" s="229" t="s">
        <v>9</v>
      </c>
      <c r="C63" s="52">
        <v>216966</v>
      </c>
      <c r="D63" s="135"/>
      <c r="E63" s="85"/>
      <c r="F63" s="85"/>
      <c r="G63" s="85"/>
      <c r="H63" s="85"/>
      <c r="I63" s="85"/>
    </row>
    <row r="64" spans="1:9" ht="31.5">
      <c r="A64" s="74" t="s">
        <v>416</v>
      </c>
      <c r="B64" s="229" t="s">
        <v>159</v>
      </c>
      <c r="C64" s="52">
        <v>437495</v>
      </c>
      <c r="D64" s="135"/>
      <c r="E64" s="85"/>
      <c r="F64" s="85"/>
      <c r="G64" s="85"/>
      <c r="H64" s="85"/>
      <c r="I64" s="85"/>
    </row>
    <row r="65" spans="1:9" ht="16.5" thickBot="1">
      <c r="A65" s="82" t="s">
        <v>646</v>
      </c>
      <c r="B65" s="20" t="s">
        <v>477</v>
      </c>
      <c r="C65" s="55">
        <v>32100</v>
      </c>
      <c r="D65" s="134"/>
      <c r="E65" s="85"/>
      <c r="F65" s="85"/>
      <c r="G65" s="85"/>
      <c r="H65" s="85"/>
      <c r="I65" s="85"/>
    </row>
    <row r="66" spans="1:6" ht="19.5" thickBot="1">
      <c r="A66" s="203"/>
      <c r="B66" s="204" t="s">
        <v>200</v>
      </c>
      <c r="C66" s="205">
        <f>SUM(C67:C68)</f>
        <v>12093919</v>
      </c>
      <c r="D66" s="137"/>
      <c r="F66" s="116"/>
    </row>
    <row r="67" spans="1:4" ht="16.5" thickTop="1">
      <c r="A67" s="83" t="s">
        <v>205</v>
      </c>
      <c r="B67" s="23" t="s">
        <v>206</v>
      </c>
      <c r="C67" s="49">
        <f>1759150+166542+6479+1325828</f>
        <v>3257999</v>
      </c>
      <c r="D67" s="135"/>
    </row>
    <row r="68" spans="1:4" ht="16.5" thickBot="1">
      <c r="A68" s="84" t="s">
        <v>18</v>
      </c>
      <c r="B68" s="27" t="s">
        <v>19</v>
      </c>
      <c r="C68" s="57">
        <f>2810641+2772922+1126866+2125491</f>
        <v>8835920</v>
      </c>
      <c r="D68" s="135"/>
    </row>
    <row r="69" spans="1:4" ht="21" thickBot="1">
      <c r="A69" s="206"/>
      <c r="B69" s="207" t="s">
        <v>202</v>
      </c>
      <c r="C69" s="208">
        <f>C9+C66</f>
        <v>45577160</v>
      </c>
      <c r="D69" s="138"/>
    </row>
    <row r="70" spans="1:4" ht="18.75">
      <c r="A70" s="85"/>
      <c r="B70" s="8"/>
      <c r="C70" s="9"/>
      <c r="D70" s="9"/>
    </row>
    <row r="71" spans="1:4" ht="20.25">
      <c r="A71" s="10" t="s">
        <v>654</v>
      </c>
      <c r="B71" s="21"/>
      <c r="C71" s="331" t="s">
        <v>655</v>
      </c>
      <c r="D71" s="16"/>
    </row>
    <row r="78" spans="2:4" ht="15.75">
      <c r="B78" s="132"/>
      <c r="C78" s="116"/>
      <c r="D78" s="116"/>
    </row>
  </sheetData>
  <sheetProtection/>
  <mergeCells count="1">
    <mergeCell ref="A5:C5"/>
  </mergeCells>
  <printOptions/>
  <pageMargins left="0.7480314960629921" right="0.1968503937007874" top="0.7086614173228347" bottom="0.4724409448818898" header="0.511811023622047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H26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3.00390625" style="0" customWidth="1"/>
    <col min="4" max="4" width="14.7109375" style="0" customWidth="1"/>
    <col min="5" max="5" width="12.00390625" style="0" customWidth="1"/>
    <col min="6" max="6" width="14.140625" style="0" customWidth="1"/>
    <col min="7" max="7" width="12.00390625" style="0" customWidth="1"/>
    <col min="8" max="8" width="13.00390625" style="0" customWidth="1"/>
    <col min="9" max="9" width="14.421875" style="0" customWidth="1"/>
  </cols>
  <sheetData>
    <row r="1" spans="1:8" ht="15.75">
      <c r="A1" s="3"/>
      <c r="B1" s="3"/>
      <c r="C1" s="3"/>
      <c r="D1" s="3"/>
      <c r="E1" s="3"/>
      <c r="F1" s="3"/>
      <c r="G1" s="3"/>
      <c r="H1" s="15" t="s">
        <v>192</v>
      </c>
    </row>
    <row r="2" spans="1:8" ht="15">
      <c r="A2" s="3"/>
      <c r="B2" s="3"/>
      <c r="C2" s="3"/>
      <c r="D2" s="3"/>
      <c r="E2" s="3"/>
      <c r="F2" s="3"/>
      <c r="G2" s="3"/>
      <c r="H2" s="17" t="s">
        <v>658</v>
      </c>
    </row>
    <row r="3" spans="1:8" ht="15">
      <c r="A3" s="3"/>
      <c r="B3" s="3"/>
      <c r="C3" s="3"/>
      <c r="D3" s="3"/>
      <c r="E3" s="3"/>
      <c r="F3" s="3"/>
      <c r="G3" s="3"/>
      <c r="H3" s="17" t="s">
        <v>659</v>
      </c>
    </row>
    <row r="4" spans="1:8" ht="20.25">
      <c r="A4" s="336" t="s">
        <v>503</v>
      </c>
      <c r="B4" s="336"/>
      <c r="C4" s="336"/>
      <c r="D4" s="336"/>
      <c r="E4" s="336"/>
      <c r="F4" s="336"/>
      <c r="G4" s="336"/>
      <c r="H4" s="336"/>
    </row>
    <row r="5" spans="1:8" ht="21" thickBot="1">
      <c r="A5" s="337" t="s">
        <v>30</v>
      </c>
      <c r="B5" s="337"/>
      <c r="C5" s="337"/>
      <c r="D5" s="337"/>
      <c r="E5" s="337"/>
      <c r="F5" s="337"/>
      <c r="G5" s="337"/>
      <c r="H5" s="337"/>
    </row>
    <row r="6" spans="1:8" s="89" customFormat="1" ht="14.25">
      <c r="A6" s="343" t="s">
        <v>375</v>
      </c>
      <c r="B6" s="341" t="s">
        <v>31</v>
      </c>
      <c r="C6" s="341" t="s">
        <v>501</v>
      </c>
      <c r="D6" s="338" t="s">
        <v>57</v>
      </c>
      <c r="E6" s="339"/>
      <c r="F6" s="339"/>
      <c r="G6" s="339"/>
      <c r="H6" s="340"/>
    </row>
    <row r="7" spans="1:8" s="89" customFormat="1" ht="72" thickBot="1">
      <c r="A7" s="344"/>
      <c r="B7" s="342"/>
      <c r="C7" s="342"/>
      <c r="D7" s="212" t="s">
        <v>418</v>
      </c>
      <c r="E7" s="213" t="s">
        <v>419</v>
      </c>
      <c r="F7" s="212" t="s">
        <v>28</v>
      </c>
      <c r="G7" s="213" t="s">
        <v>421</v>
      </c>
      <c r="H7" s="214" t="s">
        <v>502</v>
      </c>
    </row>
    <row r="8" spans="1:8" s="95" customFormat="1" ht="38.25" customHeight="1" thickBot="1">
      <c r="A8" s="97"/>
      <c r="B8" s="98" t="s">
        <v>29</v>
      </c>
      <c r="C8" s="99">
        <f aca="true" t="shared" si="0" ref="C8:H8">C9+C10+C11+C12+C13+C15+C16+C17+C14</f>
        <v>41781667</v>
      </c>
      <c r="D8" s="99">
        <f t="shared" si="0"/>
        <v>32382478</v>
      </c>
      <c r="E8" s="100">
        <f t="shared" si="0"/>
        <v>873231</v>
      </c>
      <c r="F8" s="100">
        <f t="shared" si="0"/>
        <v>4782265</v>
      </c>
      <c r="G8" s="100">
        <f t="shared" si="0"/>
        <v>596512</v>
      </c>
      <c r="H8" s="101">
        <f t="shared" si="0"/>
        <v>3147181</v>
      </c>
    </row>
    <row r="9" spans="1:10" ht="15.75" thickTop="1">
      <c r="A9" s="31" t="s">
        <v>32</v>
      </c>
      <c r="B9" s="32" t="s">
        <v>10</v>
      </c>
      <c r="C9" s="90">
        <f>D9+E9+F9+G9+H9</f>
        <v>4921846</v>
      </c>
      <c r="D9" s="59">
        <f>'3.pielikums_2013'!D10</f>
        <v>3290082</v>
      </c>
      <c r="E9" s="59">
        <f>'3.pielikums_2013'!E10</f>
        <v>56446</v>
      </c>
      <c r="F9" s="59">
        <f>'3.pielikums_2013'!F10</f>
        <v>0</v>
      </c>
      <c r="G9" s="59">
        <f>'3.pielikums_2013'!G10</f>
        <v>350000</v>
      </c>
      <c r="H9" s="68">
        <f>'3.pielikums_2013'!H10</f>
        <v>1225318</v>
      </c>
      <c r="J9" s="63"/>
    </row>
    <row r="10" spans="1:8" ht="15">
      <c r="A10" s="34" t="s">
        <v>33</v>
      </c>
      <c r="B10" s="28" t="s">
        <v>12</v>
      </c>
      <c r="C10" s="90">
        <f aca="true" t="shared" si="1" ref="C10:C23">D10+E10+F10+G10+H10</f>
        <v>1732907</v>
      </c>
      <c r="D10" s="60">
        <f>'3.pielikums_2013'!D25</f>
        <v>1621393</v>
      </c>
      <c r="E10" s="60">
        <f>'3.pielikums_2013'!E25</f>
        <v>109330</v>
      </c>
      <c r="F10" s="60">
        <f>'3.pielikums_2013'!F25</f>
        <v>0</v>
      </c>
      <c r="G10" s="70">
        <f>'3.pielikums_2013'!G25</f>
        <v>0</v>
      </c>
      <c r="H10" s="61">
        <f>'3.pielikums_2013'!H25</f>
        <v>2184</v>
      </c>
    </row>
    <row r="11" spans="1:8" ht="15">
      <c r="A11" s="34" t="s">
        <v>34</v>
      </c>
      <c r="B11" s="28" t="s">
        <v>13</v>
      </c>
      <c r="C11" s="90">
        <f t="shared" si="1"/>
        <v>10989651</v>
      </c>
      <c r="D11" s="60">
        <f>'3.pielikums_2013'!D30</f>
        <v>9471981</v>
      </c>
      <c r="E11" s="60">
        <f>'3.pielikums_2013'!E30</f>
        <v>50645</v>
      </c>
      <c r="F11" s="60">
        <f>'3.pielikums_2013'!F30</f>
        <v>0</v>
      </c>
      <c r="G11" s="70">
        <f>'3.pielikums_2013'!G30</f>
        <v>28000</v>
      </c>
      <c r="H11" s="61">
        <f>'3.pielikums_2013'!H30</f>
        <v>1439025</v>
      </c>
    </row>
    <row r="12" spans="1:8" ht="15">
      <c r="A12" s="34" t="s">
        <v>35</v>
      </c>
      <c r="B12" s="28" t="s">
        <v>14</v>
      </c>
      <c r="C12" s="90">
        <f t="shared" si="1"/>
        <v>1261462</v>
      </c>
      <c r="D12" s="60">
        <f>'3.pielikums_2013'!D48</f>
        <v>1257438</v>
      </c>
      <c r="E12" s="60">
        <f>'3.pielikums_2013'!E48</f>
        <v>0</v>
      </c>
      <c r="F12" s="60">
        <f>'3.pielikums_2013'!F48</f>
        <v>0</v>
      </c>
      <c r="G12" s="70">
        <f>'3.pielikums_2013'!G48</f>
        <v>0</v>
      </c>
      <c r="H12" s="61">
        <f>'3.pielikums_2013'!H48</f>
        <v>4024</v>
      </c>
    </row>
    <row r="13" spans="1:8" ht="15">
      <c r="A13" s="34" t="s">
        <v>36</v>
      </c>
      <c r="B13" s="28" t="s">
        <v>207</v>
      </c>
      <c r="C13" s="90">
        <f t="shared" si="1"/>
        <v>2006460</v>
      </c>
      <c r="D13" s="60">
        <f>'3.pielikums_2013'!D55</f>
        <v>1895632</v>
      </c>
      <c r="E13" s="60">
        <f>'3.pielikums_2013'!E55</f>
        <v>110500</v>
      </c>
      <c r="F13" s="60">
        <f>'3.pielikums_2013'!F55</f>
        <v>0</v>
      </c>
      <c r="G13" s="70">
        <f>'3.pielikums_2013'!G55</f>
        <v>0</v>
      </c>
      <c r="H13" s="61">
        <f>'3.pielikums_2013'!H55</f>
        <v>328</v>
      </c>
    </row>
    <row r="14" spans="1:8" ht="15">
      <c r="A14" s="34" t="s">
        <v>189</v>
      </c>
      <c r="B14" s="28" t="s">
        <v>190</v>
      </c>
      <c r="C14" s="90">
        <f t="shared" si="1"/>
        <v>108511</v>
      </c>
      <c r="D14" s="60">
        <f>'3.pielikums_2013'!D64</f>
        <v>108268</v>
      </c>
      <c r="E14" s="60">
        <f>'3.pielikums_2013'!E64</f>
        <v>0</v>
      </c>
      <c r="F14" s="60">
        <f>'3.pielikums_2013'!F64</f>
        <v>0</v>
      </c>
      <c r="G14" s="70">
        <f>'3.pielikums_2013'!G64</f>
        <v>0</v>
      </c>
      <c r="H14" s="61">
        <f>'3.pielikums_2013'!H64</f>
        <v>243</v>
      </c>
    </row>
    <row r="15" spans="1:8" ht="15">
      <c r="A15" s="34" t="s">
        <v>37</v>
      </c>
      <c r="B15" s="28" t="s">
        <v>15</v>
      </c>
      <c r="C15" s="90">
        <f t="shared" si="1"/>
        <v>3426411</v>
      </c>
      <c r="D15" s="60">
        <f>'3.pielikums_2013'!D70</f>
        <v>3168106</v>
      </c>
      <c r="E15" s="60">
        <f>'3.pielikums_2013'!E70</f>
        <v>232700</v>
      </c>
      <c r="F15" s="60">
        <f>'3.pielikums_2013'!F70</f>
        <v>11494</v>
      </c>
      <c r="G15" s="70">
        <f>'3.pielikums_2013'!G70</f>
        <v>12412</v>
      </c>
      <c r="H15" s="61">
        <f>'3.pielikums_2013'!H70</f>
        <v>1699</v>
      </c>
    </row>
    <row r="16" spans="1:8" ht="15">
      <c r="A16" s="34" t="s">
        <v>38</v>
      </c>
      <c r="B16" s="28" t="s">
        <v>16</v>
      </c>
      <c r="C16" s="90">
        <f t="shared" si="1"/>
        <v>13896915</v>
      </c>
      <c r="D16" s="60">
        <f>'3.pielikums_2013'!D96</f>
        <v>8330826</v>
      </c>
      <c r="E16" s="60">
        <f>'3.pielikums_2013'!E96</f>
        <v>290810</v>
      </c>
      <c r="F16" s="60">
        <f>'3.pielikums_2013'!F96</f>
        <v>4652560</v>
      </c>
      <c r="G16" s="60">
        <f>'3.pielikums_2013'!G96</f>
        <v>206100</v>
      </c>
      <c r="H16" s="61">
        <f>'3.pielikums_2013'!H96</f>
        <v>416619</v>
      </c>
    </row>
    <row r="17" spans="1:8" ht="15.75" thickBot="1">
      <c r="A17" s="35" t="s">
        <v>39</v>
      </c>
      <c r="B17" s="36" t="s">
        <v>17</v>
      </c>
      <c r="C17" s="90">
        <f t="shared" si="1"/>
        <v>3437504</v>
      </c>
      <c r="D17" s="62">
        <f>'3.pielikums_2013'!D122</f>
        <v>3238752</v>
      </c>
      <c r="E17" s="62">
        <f>'3.pielikums_2013'!E122</f>
        <v>22800</v>
      </c>
      <c r="F17" s="62">
        <f>'3.pielikums_2013'!F122</f>
        <v>118211</v>
      </c>
      <c r="G17" s="62">
        <f>'3.pielikums_2013'!G122</f>
        <v>0</v>
      </c>
      <c r="H17" s="69">
        <f>'3.pielikums_2013'!H122</f>
        <v>57741</v>
      </c>
    </row>
    <row r="18" spans="1:8" s="95" customFormat="1" ht="22.5" customHeight="1" thickBot="1">
      <c r="A18" s="91"/>
      <c r="B18" s="92" t="s">
        <v>56</v>
      </c>
      <c r="C18" s="93">
        <f aca="true" t="shared" si="2" ref="C18:H18">C19+C20</f>
        <v>3795493</v>
      </c>
      <c r="D18" s="93">
        <f t="shared" si="2"/>
        <v>264675</v>
      </c>
      <c r="E18" s="93">
        <f t="shared" si="2"/>
        <v>0</v>
      </c>
      <c r="F18" s="93">
        <f t="shared" si="2"/>
        <v>3420000</v>
      </c>
      <c r="G18" s="93">
        <f t="shared" si="2"/>
        <v>0</v>
      </c>
      <c r="H18" s="94">
        <f t="shared" si="2"/>
        <v>110818</v>
      </c>
    </row>
    <row r="19" spans="1:8" ht="16.5" customHeight="1" thickTop="1">
      <c r="A19" s="37" t="s">
        <v>208</v>
      </c>
      <c r="B19" s="33" t="s">
        <v>209</v>
      </c>
      <c r="C19" s="90">
        <f t="shared" si="1"/>
        <v>3530818</v>
      </c>
      <c r="D19" s="59">
        <f>'3.pielikums_2013'!D152</f>
        <v>0</v>
      </c>
      <c r="E19" s="59">
        <f>'3.pielikums_2013'!E152</f>
        <v>0</v>
      </c>
      <c r="F19" s="59">
        <f>'3.pielikums_2013'!F152</f>
        <v>3420000</v>
      </c>
      <c r="G19" s="59">
        <f>'3.pielikums_2013'!G152</f>
        <v>0</v>
      </c>
      <c r="H19" s="68">
        <f>'3.pielikums_2013'!H152</f>
        <v>110818</v>
      </c>
    </row>
    <row r="20" spans="1:8" ht="17.25" customHeight="1">
      <c r="A20" s="38" t="s">
        <v>106</v>
      </c>
      <c r="B20" s="28" t="s">
        <v>191</v>
      </c>
      <c r="C20" s="90">
        <f t="shared" si="1"/>
        <v>264675</v>
      </c>
      <c r="D20" s="60">
        <f>'3.pielikums_2013'!D153</f>
        <v>264675</v>
      </c>
      <c r="E20" s="60">
        <f>'3.pielikums_2013'!E153</f>
        <v>0</v>
      </c>
      <c r="F20" s="60">
        <f>'3.pielikums_2013'!F153</f>
        <v>0</v>
      </c>
      <c r="G20" s="60">
        <f>'3.pielikums_2013'!G153</f>
        <v>0</v>
      </c>
      <c r="H20" s="61">
        <f>'3.pielikums_2013'!H153</f>
        <v>0</v>
      </c>
    </row>
    <row r="21" spans="1:8" ht="30">
      <c r="A21" s="40"/>
      <c r="B21" s="125" t="s">
        <v>647</v>
      </c>
      <c r="C21" s="60">
        <f t="shared" si="1"/>
        <v>20000</v>
      </c>
      <c r="D21" s="163">
        <f>'3.pielikums_2013'!D154</f>
        <v>20000</v>
      </c>
      <c r="E21" s="163">
        <f>'3.pielikums_2013'!E154</f>
        <v>0</v>
      </c>
      <c r="F21" s="163">
        <f>'3.pielikums_2013'!F154</f>
        <v>0</v>
      </c>
      <c r="G21" s="163">
        <f>'3.pielikums_2013'!G154</f>
        <v>0</v>
      </c>
      <c r="H21" s="164">
        <f>'3.pielikums_2013'!H154</f>
        <v>0</v>
      </c>
    </row>
    <row r="22" spans="1:8" ht="30">
      <c r="A22" s="40"/>
      <c r="B22" s="112" t="s">
        <v>648</v>
      </c>
      <c r="C22" s="60">
        <f t="shared" si="1"/>
        <v>10400</v>
      </c>
      <c r="D22" s="163">
        <f>'3.pielikums_2013'!D155</f>
        <v>10400</v>
      </c>
      <c r="E22" s="163"/>
      <c r="F22" s="163"/>
      <c r="G22" s="163"/>
      <c r="H22" s="164"/>
    </row>
    <row r="23" spans="1:9" ht="30.75" thickBot="1">
      <c r="A23" s="305"/>
      <c r="B23" s="148" t="s">
        <v>174</v>
      </c>
      <c r="C23" s="306">
        <f t="shared" si="1"/>
        <v>234275</v>
      </c>
      <c r="D23" s="163">
        <f>'3.pielikums_2013'!D156</f>
        <v>234275</v>
      </c>
      <c r="E23" s="163">
        <f>'3.pielikums_2013'!E156</f>
        <v>0</v>
      </c>
      <c r="F23" s="163">
        <f>'3.pielikums_2013'!F156</f>
        <v>0</v>
      </c>
      <c r="G23" s="163">
        <f>'3.pielikums_2013'!G156</f>
        <v>0</v>
      </c>
      <c r="H23" s="164">
        <f>'3.pielikums_2013'!H156</f>
        <v>0</v>
      </c>
      <c r="I23" s="39"/>
    </row>
    <row r="24" spans="1:8" s="96" customFormat="1" ht="21.75" customHeight="1" thickBot="1">
      <c r="A24" s="307"/>
      <c r="B24" s="308" t="s">
        <v>85</v>
      </c>
      <c r="C24" s="309">
        <f aca="true" t="shared" si="3" ref="C24:H24">C8+C18</f>
        <v>45577160</v>
      </c>
      <c r="D24" s="309">
        <f t="shared" si="3"/>
        <v>32647153</v>
      </c>
      <c r="E24" s="310">
        <f t="shared" si="3"/>
        <v>873231</v>
      </c>
      <c r="F24" s="310">
        <f t="shared" si="3"/>
        <v>8202265</v>
      </c>
      <c r="G24" s="310">
        <f t="shared" si="3"/>
        <v>596512</v>
      </c>
      <c r="H24" s="311">
        <f t="shared" si="3"/>
        <v>3257999</v>
      </c>
    </row>
    <row r="25" spans="1:4" s="22" customFormat="1" ht="18.75">
      <c r="A25" s="7"/>
      <c r="B25" s="29"/>
      <c r="C25" s="30"/>
      <c r="D25" s="140"/>
    </row>
    <row r="26" spans="1:8" ht="18.75">
      <c r="A26" s="10" t="s">
        <v>654</v>
      </c>
      <c r="B26" s="328"/>
      <c r="C26" s="329"/>
      <c r="D26" s="330"/>
      <c r="E26" s="329"/>
      <c r="F26" s="22"/>
      <c r="G26" s="22"/>
      <c r="H26" s="331" t="s">
        <v>655</v>
      </c>
    </row>
    <row r="27" ht="12.75">
      <c r="C27" s="63"/>
    </row>
    <row r="28" s="13" customFormat="1" ht="20.25">
      <c r="C28" s="139"/>
    </row>
  </sheetData>
  <sheetProtection/>
  <mergeCells count="6">
    <mergeCell ref="A4:H4"/>
    <mergeCell ref="A5:H5"/>
    <mergeCell ref="D6:H6"/>
    <mergeCell ref="C6:C7"/>
    <mergeCell ref="A6:A7"/>
    <mergeCell ref="B6:B7"/>
  </mergeCells>
  <printOptions/>
  <pageMargins left="0.61" right="0.75" top="0.25" bottom="0.26" header="0.26" footer="0.27"/>
  <pageSetup horizontalDpi="600" verticalDpi="600" orientation="landscape" paperSize="9" r:id="rId1"/>
  <ignoredErrors>
    <ignoredError sqref="C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="90" zoomScaleNormal="90" zoomScalePageLayoutView="0" workbookViewId="0" topLeftCell="A1">
      <pane ySplit="8" topLeftCell="A143" activePane="bottomLeft" state="frozen"/>
      <selection pane="topLeft" activeCell="A1" sqref="A1"/>
      <selection pane="bottomLeft" activeCell="A1" sqref="A1:H160"/>
    </sheetView>
  </sheetViews>
  <sheetFormatPr defaultColWidth="9.140625" defaultRowHeight="12.75"/>
  <cols>
    <col min="1" max="1" width="10.421875" style="88" customWidth="1"/>
    <col min="2" max="2" width="44.421875" style="108" customWidth="1"/>
    <col min="3" max="3" width="14.57421875" style="1" customWidth="1"/>
    <col min="4" max="4" width="13.7109375" style="104" customWidth="1"/>
    <col min="5" max="5" width="11.140625" style="1" customWidth="1"/>
    <col min="6" max="6" width="13.28125" style="1" customWidth="1"/>
    <col min="7" max="7" width="11.7109375" style="1" customWidth="1"/>
    <col min="8" max="8" width="13.00390625" style="1" customWidth="1"/>
    <col min="9" max="9" width="18.57421875" style="1" customWidth="1"/>
    <col min="10" max="16384" width="9.140625" style="1" customWidth="1"/>
  </cols>
  <sheetData>
    <row r="1" ht="15.75">
      <c r="H1" s="177" t="s">
        <v>83</v>
      </c>
    </row>
    <row r="2" ht="15.75">
      <c r="H2" s="177" t="s">
        <v>656</v>
      </c>
    </row>
    <row r="3" ht="15.75">
      <c r="H3" s="177" t="s">
        <v>660</v>
      </c>
    </row>
    <row r="4" spans="1:8" ht="15.75">
      <c r="A4" s="345" t="s">
        <v>503</v>
      </c>
      <c r="B4" s="346"/>
      <c r="C4" s="346"/>
      <c r="D4" s="346"/>
      <c r="E4" s="346"/>
      <c r="F4" s="346"/>
      <c r="G4" s="346"/>
      <c r="H4" s="346"/>
    </row>
    <row r="5" spans="1:8" ht="15.75">
      <c r="A5" s="345" t="s">
        <v>84</v>
      </c>
      <c r="B5" s="346"/>
      <c r="C5" s="346"/>
      <c r="D5" s="346"/>
      <c r="E5" s="346"/>
      <c r="F5" s="346"/>
      <c r="G5" s="346"/>
      <c r="H5" s="346"/>
    </row>
    <row r="6" ht="16.5" thickBot="1">
      <c r="H6" s="15" t="s">
        <v>22</v>
      </c>
    </row>
    <row r="7" spans="1:8" ht="15.75">
      <c r="A7" s="350" t="s">
        <v>236</v>
      </c>
      <c r="B7" s="352" t="s">
        <v>31</v>
      </c>
      <c r="C7" s="354" t="s">
        <v>504</v>
      </c>
      <c r="D7" s="347" t="s">
        <v>57</v>
      </c>
      <c r="E7" s="348"/>
      <c r="F7" s="348"/>
      <c r="G7" s="348"/>
      <c r="H7" s="349"/>
    </row>
    <row r="8" spans="1:8" s="105" customFormat="1" ht="72.75" thickBot="1">
      <c r="A8" s="351"/>
      <c r="B8" s="353"/>
      <c r="C8" s="355"/>
      <c r="D8" s="316" t="s">
        <v>418</v>
      </c>
      <c r="E8" s="316" t="s">
        <v>419</v>
      </c>
      <c r="F8" s="316" t="s">
        <v>420</v>
      </c>
      <c r="G8" s="316" t="s">
        <v>421</v>
      </c>
      <c r="H8" s="317" t="s">
        <v>502</v>
      </c>
    </row>
    <row r="9" spans="1:8" s="106" customFormat="1" ht="29.25" thickBot="1">
      <c r="A9" s="219"/>
      <c r="B9" s="223" t="s">
        <v>29</v>
      </c>
      <c r="C9" s="220">
        <f>SUM(D9+E9+F9+G9+H9)</f>
        <v>41781667</v>
      </c>
      <c r="D9" s="220">
        <f>SUM(D10+D25+D30+D48+D55+D70+D96+D122+D64)</f>
        <v>32382478</v>
      </c>
      <c r="E9" s="220">
        <f>SUM(E10+E25+E30+E48+E55+E70+E96+E122+E64)</f>
        <v>873231</v>
      </c>
      <c r="F9" s="220">
        <f>SUM(F10+F25+F30+F48+F55+F70+F96+F122+F64)</f>
        <v>4782265</v>
      </c>
      <c r="G9" s="220">
        <f>SUM(G10+G25+G30+G48+G55+G70+G96+G122+G64)</f>
        <v>596512</v>
      </c>
      <c r="H9" s="221">
        <f>SUM(H10+H25+H30+H48+H55+H70+H96+H122+H64)</f>
        <v>3147181</v>
      </c>
    </row>
    <row r="10" spans="1:8" s="106" customFormat="1" ht="15.75">
      <c r="A10" s="323" t="s">
        <v>32</v>
      </c>
      <c r="B10" s="324" t="s">
        <v>10</v>
      </c>
      <c r="C10" s="325">
        <f aca="true" t="shared" si="0" ref="C10:C84">SUM(D10+E10+F10+G10+H10)</f>
        <v>4921846</v>
      </c>
      <c r="D10" s="325">
        <f>SUM(D11+D13+D17+D18+D19+D20+D24)</f>
        <v>3290082</v>
      </c>
      <c r="E10" s="325">
        <f>SUM(E11+E13+E17+E18+E19+E20+E24)</f>
        <v>56446</v>
      </c>
      <c r="F10" s="325">
        <f>SUM(F11+F13+F17+F18+F19+F20+F24)</f>
        <v>0</v>
      </c>
      <c r="G10" s="325">
        <f>SUM(G11+G13+G17+G18+G19+G20+G24)</f>
        <v>350000</v>
      </c>
      <c r="H10" s="325">
        <f>SUM(H11+H13+H17+H18+H19+H20+H24)</f>
        <v>1225318</v>
      </c>
    </row>
    <row r="11" spans="1:8" ht="28.5">
      <c r="A11" s="319" t="s">
        <v>42</v>
      </c>
      <c r="B11" s="320" t="s">
        <v>423</v>
      </c>
      <c r="C11" s="90">
        <f t="shared" si="0"/>
        <v>2129568</v>
      </c>
      <c r="D11" s="321">
        <f>SUM(D12:D12)</f>
        <v>1988554</v>
      </c>
      <c r="E11" s="321">
        <f>SUM(E12:E12)</f>
        <v>56446</v>
      </c>
      <c r="F11" s="321">
        <f>SUM(F12:F12)</f>
        <v>0</v>
      </c>
      <c r="G11" s="321">
        <f>SUM(G12:G12)</f>
        <v>0</v>
      </c>
      <c r="H11" s="322">
        <f>SUM(H12:H12)</f>
        <v>84568</v>
      </c>
    </row>
    <row r="12" spans="1:8" s="11" customFormat="1" ht="15.75">
      <c r="A12" s="102" t="s">
        <v>235</v>
      </c>
      <c r="B12" s="110" t="s">
        <v>237</v>
      </c>
      <c r="C12" s="152">
        <f>SUM(D12:H12)</f>
        <v>2129568</v>
      </c>
      <c r="D12" s="153">
        <v>1988554</v>
      </c>
      <c r="E12" s="154">
        <v>56446</v>
      </c>
      <c r="F12" s="154"/>
      <c r="G12" s="154"/>
      <c r="H12" s="155">
        <v>84568</v>
      </c>
    </row>
    <row r="13" spans="1:8" ht="15.75">
      <c r="A13" s="113" t="s">
        <v>40</v>
      </c>
      <c r="B13" s="109" t="s">
        <v>68</v>
      </c>
      <c r="C13" s="150">
        <f>SUM(C14:C16)</f>
        <v>239535</v>
      </c>
      <c r="D13" s="150">
        <f>D14+D16+D15</f>
        <v>239534</v>
      </c>
      <c r="E13" s="150">
        <f>E14+E16+E15</f>
        <v>0</v>
      </c>
      <c r="F13" s="150">
        <f>F14+F16+F15</f>
        <v>0</v>
      </c>
      <c r="G13" s="150">
        <f>G14+G16+G15</f>
        <v>0</v>
      </c>
      <c r="H13" s="151">
        <f>H14+H16+H15</f>
        <v>1</v>
      </c>
    </row>
    <row r="14" spans="1:8" s="11" customFormat="1" ht="30">
      <c r="A14" s="102" t="s">
        <v>177</v>
      </c>
      <c r="B14" s="110" t="s">
        <v>422</v>
      </c>
      <c r="C14" s="152">
        <f t="shared" si="0"/>
        <v>35000</v>
      </c>
      <c r="D14" s="154">
        <v>35000</v>
      </c>
      <c r="E14" s="154"/>
      <c r="F14" s="154"/>
      <c r="G14" s="154"/>
      <c r="H14" s="158"/>
    </row>
    <row r="15" spans="1:8" s="11" customFormat="1" ht="30">
      <c r="A15" s="102" t="s">
        <v>178</v>
      </c>
      <c r="B15" s="110" t="s">
        <v>590</v>
      </c>
      <c r="C15" s="152">
        <f t="shared" si="0"/>
        <v>114183</v>
      </c>
      <c r="D15" s="154">
        <v>114182</v>
      </c>
      <c r="E15" s="154"/>
      <c r="F15" s="154"/>
      <c r="G15" s="154"/>
      <c r="H15" s="155">
        <v>1</v>
      </c>
    </row>
    <row r="16" spans="1:8" s="11" customFormat="1" ht="45">
      <c r="A16" s="102" t="s">
        <v>417</v>
      </c>
      <c r="B16" s="111" t="s">
        <v>374</v>
      </c>
      <c r="C16" s="152">
        <f>SUM(D16+E16+F16+G16+H16)</f>
        <v>90352</v>
      </c>
      <c r="D16" s="154">
        <v>90352</v>
      </c>
      <c r="E16" s="154"/>
      <c r="F16" s="154"/>
      <c r="G16" s="154"/>
      <c r="H16" s="155"/>
    </row>
    <row r="17" spans="1:8" ht="44.25">
      <c r="A17" s="113" t="s">
        <v>49</v>
      </c>
      <c r="B17" s="109" t="s">
        <v>424</v>
      </c>
      <c r="C17" s="152">
        <f t="shared" si="0"/>
        <v>304191</v>
      </c>
      <c r="D17" s="152">
        <v>304191</v>
      </c>
      <c r="E17" s="152"/>
      <c r="F17" s="152"/>
      <c r="G17" s="152"/>
      <c r="H17" s="159"/>
    </row>
    <row r="18" spans="1:8" ht="29.25">
      <c r="A18" s="113" t="s">
        <v>576</v>
      </c>
      <c r="B18" s="109" t="s">
        <v>584</v>
      </c>
      <c r="C18" s="152">
        <f t="shared" si="0"/>
        <v>20200</v>
      </c>
      <c r="D18" s="152">
        <v>20200</v>
      </c>
      <c r="E18" s="152"/>
      <c r="F18" s="152"/>
      <c r="G18" s="152"/>
      <c r="H18" s="159"/>
    </row>
    <row r="19" spans="1:8" ht="30">
      <c r="A19" s="113" t="s">
        <v>41</v>
      </c>
      <c r="B19" s="109" t="s">
        <v>425</v>
      </c>
      <c r="C19" s="152">
        <f t="shared" si="0"/>
        <v>891000</v>
      </c>
      <c r="D19" s="152">
        <v>0</v>
      </c>
      <c r="E19" s="152"/>
      <c r="F19" s="152"/>
      <c r="G19" s="156"/>
      <c r="H19" s="162">
        <v>891000</v>
      </c>
    </row>
    <row r="20" spans="1:8" ht="28.5">
      <c r="A20" s="113" t="s">
        <v>43</v>
      </c>
      <c r="B20" s="109" t="s">
        <v>11</v>
      </c>
      <c r="C20" s="150">
        <f t="shared" si="0"/>
        <v>1233966</v>
      </c>
      <c r="D20" s="150">
        <f>D21+D22+D23</f>
        <v>634217</v>
      </c>
      <c r="E20" s="150">
        <f>E21+E22+E23</f>
        <v>0</v>
      </c>
      <c r="F20" s="150">
        <f>F21+F22+F23</f>
        <v>0</v>
      </c>
      <c r="G20" s="160">
        <f>G21+G22+G23</f>
        <v>350000</v>
      </c>
      <c r="H20" s="161">
        <f>H21+H22+H23</f>
        <v>249749</v>
      </c>
    </row>
    <row r="21" spans="1:8" s="58" customFormat="1" ht="30">
      <c r="A21" s="103" t="s">
        <v>69</v>
      </c>
      <c r="B21" s="111" t="s">
        <v>72</v>
      </c>
      <c r="C21" s="156">
        <f>SUM(D21+E21+F21+G21+H21)</f>
        <v>350511</v>
      </c>
      <c r="D21" s="157"/>
      <c r="E21" s="157"/>
      <c r="F21" s="157"/>
      <c r="G21" s="157">
        <v>350000</v>
      </c>
      <c r="H21" s="158">
        <v>511</v>
      </c>
    </row>
    <row r="22" spans="1:8" s="11" customFormat="1" ht="30">
      <c r="A22" s="103" t="s">
        <v>70</v>
      </c>
      <c r="B22" s="111" t="s">
        <v>73</v>
      </c>
      <c r="C22" s="156">
        <f t="shared" si="0"/>
        <v>226257</v>
      </c>
      <c r="D22" s="157">
        <v>226257</v>
      </c>
      <c r="E22" s="157"/>
      <c r="F22" s="157"/>
      <c r="G22" s="157"/>
      <c r="H22" s="158"/>
    </row>
    <row r="23" spans="1:8" s="11" customFormat="1" ht="30">
      <c r="A23" s="103" t="s">
        <v>71</v>
      </c>
      <c r="B23" s="111" t="s">
        <v>167</v>
      </c>
      <c r="C23" s="156">
        <f t="shared" si="0"/>
        <v>657198</v>
      </c>
      <c r="D23" s="157">
        <v>407960</v>
      </c>
      <c r="E23" s="157"/>
      <c r="F23" s="157"/>
      <c r="G23" s="157"/>
      <c r="H23" s="158">
        <v>249238</v>
      </c>
    </row>
    <row r="24" spans="1:8" ht="58.5">
      <c r="A24" s="114" t="s">
        <v>44</v>
      </c>
      <c r="B24" s="115" t="s">
        <v>426</v>
      </c>
      <c r="C24" s="156">
        <f t="shared" si="0"/>
        <v>103386</v>
      </c>
      <c r="D24" s="156">
        <f>103542-7-511+362</f>
        <v>103386</v>
      </c>
      <c r="E24" s="156"/>
      <c r="F24" s="156"/>
      <c r="G24" s="156"/>
      <c r="H24" s="162"/>
    </row>
    <row r="25" spans="1:8" s="106" customFormat="1" ht="15.75">
      <c r="A25" s="215" t="s">
        <v>33</v>
      </c>
      <c r="B25" s="216" t="s">
        <v>12</v>
      </c>
      <c r="C25" s="217">
        <f t="shared" si="0"/>
        <v>1732907</v>
      </c>
      <c r="D25" s="217">
        <f>SUM(D26+D27)</f>
        <v>1621393</v>
      </c>
      <c r="E25" s="217">
        <f>SUM(E26+E27)</f>
        <v>109330</v>
      </c>
      <c r="F25" s="217">
        <f>SUM(F26+F27)</f>
        <v>0</v>
      </c>
      <c r="G25" s="217">
        <f>SUM(G26+G27)</f>
        <v>0</v>
      </c>
      <c r="H25" s="218">
        <f>SUM(H26+H27)</f>
        <v>2184</v>
      </c>
    </row>
    <row r="26" spans="1:9" ht="30">
      <c r="A26" s="114" t="s">
        <v>45</v>
      </c>
      <c r="B26" s="115" t="s">
        <v>589</v>
      </c>
      <c r="C26" s="156">
        <f t="shared" si="0"/>
        <v>1633338</v>
      </c>
      <c r="D26" s="156">
        <v>1522086</v>
      </c>
      <c r="E26" s="156">
        <v>109330</v>
      </c>
      <c r="F26" s="156"/>
      <c r="G26" s="156"/>
      <c r="H26" s="162">
        <v>1922</v>
      </c>
      <c r="I26" s="116"/>
    </row>
    <row r="27" spans="1:8" ht="28.5">
      <c r="A27" s="113" t="s">
        <v>46</v>
      </c>
      <c r="B27" s="109" t="s">
        <v>74</v>
      </c>
      <c r="C27" s="150">
        <f t="shared" si="0"/>
        <v>99569</v>
      </c>
      <c r="D27" s="150">
        <f>D28+D29</f>
        <v>99307</v>
      </c>
      <c r="E27" s="150">
        <f>E28+E29</f>
        <v>0</v>
      </c>
      <c r="F27" s="150">
        <f>F28+F29</f>
        <v>0</v>
      </c>
      <c r="G27" s="150">
        <f>G28+G29</f>
        <v>0</v>
      </c>
      <c r="H27" s="151">
        <f>H28+H29</f>
        <v>262</v>
      </c>
    </row>
    <row r="28" spans="1:8" s="11" customFormat="1" ht="15.75">
      <c r="A28" s="102" t="s">
        <v>94</v>
      </c>
      <c r="B28" s="117" t="s">
        <v>586</v>
      </c>
      <c r="C28" s="154">
        <f t="shared" si="0"/>
        <v>73165</v>
      </c>
      <c r="D28" s="154">
        <v>73165</v>
      </c>
      <c r="E28" s="154"/>
      <c r="F28" s="154"/>
      <c r="G28" s="154"/>
      <c r="H28" s="155"/>
    </row>
    <row r="29" spans="1:8" s="11" customFormat="1" ht="60">
      <c r="A29" s="102" t="s">
        <v>572</v>
      </c>
      <c r="B29" s="117" t="s">
        <v>585</v>
      </c>
      <c r="C29" s="154">
        <f t="shared" si="0"/>
        <v>26404</v>
      </c>
      <c r="D29" s="154">
        <f>8130+18012</f>
        <v>26142</v>
      </c>
      <c r="E29" s="154"/>
      <c r="F29" s="154"/>
      <c r="G29" s="154"/>
      <c r="H29" s="155">
        <v>262</v>
      </c>
    </row>
    <row r="30" spans="1:8" s="106" customFormat="1" ht="15.75">
      <c r="A30" s="215" t="s">
        <v>34</v>
      </c>
      <c r="B30" s="216" t="s">
        <v>13</v>
      </c>
      <c r="C30" s="217">
        <f aca="true" t="shared" si="1" ref="C30:C36">SUM(D30:H30)</f>
        <v>10989651</v>
      </c>
      <c r="D30" s="217">
        <f>SUM(D31+D36+D39)</f>
        <v>9471981</v>
      </c>
      <c r="E30" s="217">
        <f>SUM(E31+E36+E39)</f>
        <v>50645</v>
      </c>
      <c r="F30" s="217">
        <f>SUM(F31+F36+F39)</f>
        <v>0</v>
      </c>
      <c r="G30" s="217">
        <f>SUM(G31+G36+G39)</f>
        <v>28000</v>
      </c>
      <c r="H30" s="218">
        <f>SUM(H31+H36+H39)</f>
        <v>1439025</v>
      </c>
    </row>
    <row r="31" spans="1:8" ht="15.75">
      <c r="A31" s="118" t="s">
        <v>47</v>
      </c>
      <c r="B31" s="109" t="s">
        <v>48</v>
      </c>
      <c r="C31" s="160">
        <f t="shared" si="1"/>
        <v>9608641</v>
      </c>
      <c r="D31" s="150">
        <f>SUM(D32:D35)</f>
        <v>8363619</v>
      </c>
      <c r="E31" s="150">
        <f>SUM(E32:E35)</f>
        <v>0</v>
      </c>
      <c r="F31" s="150">
        <f>SUM(F32:F35)</f>
        <v>0</v>
      </c>
      <c r="G31" s="150">
        <f>SUM(G32:G35)</f>
        <v>0</v>
      </c>
      <c r="H31" s="151">
        <f>SUM(H32:H35)</f>
        <v>1245022</v>
      </c>
    </row>
    <row r="32" spans="1:8" s="11" customFormat="1" ht="30">
      <c r="A32" s="102" t="s">
        <v>75</v>
      </c>
      <c r="B32" s="110" t="s">
        <v>168</v>
      </c>
      <c r="C32" s="157">
        <f t="shared" si="1"/>
        <v>625378</v>
      </c>
      <c r="D32" s="154">
        <v>625378</v>
      </c>
      <c r="E32" s="154"/>
      <c r="F32" s="154"/>
      <c r="G32" s="154"/>
      <c r="H32" s="155"/>
    </row>
    <row r="33" spans="1:8" s="11" customFormat="1" ht="30">
      <c r="A33" s="102" t="s">
        <v>108</v>
      </c>
      <c r="B33" s="119" t="s">
        <v>88</v>
      </c>
      <c r="C33" s="157">
        <f t="shared" si="1"/>
        <v>770000</v>
      </c>
      <c r="D33" s="154">
        <v>0</v>
      </c>
      <c r="E33" s="154"/>
      <c r="F33" s="154"/>
      <c r="G33" s="154"/>
      <c r="H33" s="158">
        <v>770000</v>
      </c>
    </row>
    <row r="34" spans="1:8" s="11" customFormat="1" ht="30">
      <c r="A34" s="102" t="s">
        <v>239</v>
      </c>
      <c r="B34" s="119" t="s">
        <v>484</v>
      </c>
      <c r="C34" s="157">
        <f t="shared" si="1"/>
        <v>4627972</v>
      </c>
      <c r="D34" s="154">
        <f>2772922+1649293</f>
        <v>4422215</v>
      </c>
      <c r="E34" s="154"/>
      <c r="F34" s="154"/>
      <c r="G34" s="154"/>
      <c r="H34" s="155">
        <v>205757</v>
      </c>
    </row>
    <row r="35" spans="1:8" s="11" customFormat="1" ht="45">
      <c r="A35" s="102" t="s">
        <v>578</v>
      </c>
      <c r="B35" s="119" t="s">
        <v>587</v>
      </c>
      <c r="C35" s="157">
        <f t="shared" si="1"/>
        <v>3585291</v>
      </c>
      <c r="D35" s="154">
        <f>2810641+480300+25085</f>
        <v>3316026</v>
      </c>
      <c r="E35" s="154"/>
      <c r="F35" s="154"/>
      <c r="G35" s="154"/>
      <c r="H35" s="155">
        <v>269265</v>
      </c>
    </row>
    <row r="36" spans="1:8" ht="15.75">
      <c r="A36" s="120" t="s">
        <v>109</v>
      </c>
      <c r="B36" s="121" t="s">
        <v>179</v>
      </c>
      <c r="C36" s="150">
        <f t="shared" si="1"/>
        <v>296048</v>
      </c>
      <c r="D36" s="150">
        <f>SUM(D37:D38)</f>
        <v>257089</v>
      </c>
      <c r="E36" s="150">
        <f>SUM(E37:E38)</f>
        <v>36645</v>
      </c>
      <c r="F36" s="150">
        <f>SUM(F37:F38)</f>
        <v>0</v>
      </c>
      <c r="G36" s="150">
        <f>SUM(G37:G38)</f>
        <v>0</v>
      </c>
      <c r="H36" s="151">
        <f>SUM(H37:H38)</f>
        <v>2314</v>
      </c>
    </row>
    <row r="37" spans="1:8" s="11" customFormat="1" ht="15.75">
      <c r="A37" s="122" t="s">
        <v>188</v>
      </c>
      <c r="B37" s="123" t="s">
        <v>588</v>
      </c>
      <c r="C37" s="157">
        <f t="shared" si="0"/>
        <v>213364</v>
      </c>
      <c r="D37" s="157">
        <v>174420</v>
      </c>
      <c r="E37" s="157">
        <v>36645</v>
      </c>
      <c r="F37" s="157"/>
      <c r="G37" s="157"/>
      <c r="H37" s="158">
        <v>2299</v>
      </c>
    </row>
    <row r="38" spans="1:8" s="11" customFormat="1" ht="45">
      <c r="A38" s="122" t="s">
        <v>579</v>
      </c>
      <c r="B38" s="123" t="s">
        <v>591</v>
      </c>
      <c r="C38" s="157">
        <f t="shared" si="0"/>
        <v>82684</v>
      </c>
      <c r="D38" s="157">
        <f>47679+34990</f>
        <v>82669</v>
      </c>
      <c r="E38" s="157"/>
      <c r="F38" s="157"/>
      <c r="G38" s="157"/>
      <c r="H38" s="158">
        <v>15</v>
      </c>
    </row>
    <row r="39" spans="1:8" s="11" customFormat="1" ht="28.5">
      <c r="A39" s="120" t="s">
        <v>180</v>
      </c>
      <c r="B39" s="318" t="s">
        <v>181</v>
      </c>
      <c r="C39" s="150">
        <f>SUM(D39:H39)</f>
        <v>1084962</v>
      </c>
      <c r="D39" s="150">
        <f>SUM(D40:D47)</f>
        <v>851273</v>
      </c>
      <c r="E39" s="150">
        <f>SUM(E40:E47)</f>
        <v>14000</v>
      </c>
      <c r="F39" s="150">
        <f>SUM(F40:F47)</f>
        <v>0</v>
      </c>
      <c r="G39" s="150">
        <f>SUM(G40:G47)</f>
        <v>28000</v>
      </c>
      <c r="H39" s="151">
        <f>SUM(H40:H47)</f>
        <v>191689</v>
      </c>
    </row>
    <row r="40" spans="1:8" s="11" customFormat="1" ht="30">
      <c r="A40" s="102" t="s">
        <v>213</v>
      </c>
      <c r="B40" s="110" t="s">
        <v>215</v>
      </c>
      <c r="C40" s="154">
        <f>SUM(D40+E40+F40+G40+H40)</f>
        <v>16980</v>
      </c>
      <c r="D40" s="154">
        <v>16980</v>
      </c>
      <c r="E40" s="154"/>
      <c r="F40" s="154"/>
      <c r="G40" s="154"/>
      <c r="H40" s="155"/>
    </row>
    <row r="41" spans="1:8" s="11" customFormat="1" ht="60">
      <c r="A41" s="124" t="s">
        <v>214</v>
      </c>
      <c r="B41" s="110" t="s">
        <v>216</v>
      </c>
      <c r="C41" s="154">
        <f aca="true" t="shared" si="2" ref="C41:C47">SUM(D41+E41+F41+G41+H41)</f>
        <v>49000</v>
      </c>
      <c r="D41" s="154">
        <v>7000</v>
      </c>
      <c r="E41" s="154">
        <v>14000</v>
      </c>
      <c r="F41" s="154"/>
      <c r="G41" s="154">
        <v>28000</v>
      </c>
      <c r="H41" s="155"/>
    </row>
    <row r="42" spans="1:8" s="11" customFormat="1" ht="30">
      <c r="A42" s="124" t="s">
        <v>240</v>
      </c>
      <c r="B42" s="110" t="s">
        <v>592</v>
      </c>
      <c r="C42" s="154">
        <f t="shared" si="2"/>
        <v>4918</v>
      </c>
      <c r="D42" s="154">
        <v>2500</v>
      </c>
      <c r="E42" s="154"/>
      <c r="F42" s="154"/>
      <c r="G42" s="154"/>
      <c r="H42" s="155">
        <v>2418</v>
      </c>
    </row>
    <row r="43" spans="1:8" s="11" customFormat="1" ht="45">
      <c r="A43" s="124" t="s">
        <v>432</v>
      </c>
      <c r="B43" s="110" t="s">
        <v>485</v>
      </c>
      <c r="C43" s="154">
        <f t="shared" si="2"/>
        <v>73048</v>
      </c>
      <c r="D43" s="154">
        <v>41048</v>
      </c>
      <c r="E43" s="154"/>
      <c r="F43" s="154"/>
      <c r="G43" s="154"/>
      <c r="H43" s="155">
        <v>32000</v>
      </c>
    </row>
    <row r="44" spans="1:8" s="11" customFormat="1" ht="15.75">
      <c r="A44" s="124" t="s">
        <v>428</v>
      </c>
      <c r="B44" s="110" t="s">
        <v>429</v>
      </c>
      <c r="C44" s="154">
        <f t="shared" si="2"/>
        <v>1500</v>
      </c>
      <c r="D44" s="154">
        <v>1500</v>
      </c>
      <c r="E44" s="154"/>
      <c r="F44" s="154"/>
      <c r="G44" s="154"/>
      <c r="H44" s="155"/>
    </row>
    <row r="45" spans="1:8" s="11" customFormat="1" ht="45">
      <c r="A45" s="124" t="s">
        <v>481</v>
      </c>
      <c r="B45" s="110" t="s">
        <v>493</v>
      </c>
      <c r="C45" s="154">
        <f t="shared" si="2"/>
        <v>924148</v>
      </c>
      <c r="D45" s="154">
        <f>540362+236183</f>
        <v>776545</v>
      </c>
      <c r="E45" s="154"/>
      <c r="F45" s="154"/>
      <c r="G45" s="154"/>
      <c r="H45" s="155">
        <v>147603</v>
      </c>
    </row>
    <row r="46" spans="1:8" s="11" customFormat="1" ht="60">
      <c r="A46" s="124" t="s">
        <v>482</v>
      </c>
      <c r="B46" s="110" t="s">
        <v>494</v>
      </c>
      <c r="C46" s="154">
        <f t="shared" si="2"/>
        <v>3285</v>
      </c>
      <c r="D46" s="154"/>
      <c r="E46" s="154"/>
      <c r="F46" s="154"/>
      <c r="G46" s="154"/>
      <c r="H46" s="155">
        <v>3285</v>
      </c>
    </row>
    <row r="47" spans="1:8" s="11" customFormat="1" ht="30">
      <c r="A47" s="124" t="s">
        <v>573</v>
      </c>
      <c r="B47" s="110" t="s">
        <v>593</v>
      </c>
      <c r="C47" s="154">
        <f t="shared" si="2"/>
        <v>12083</v>
      </c>
      <c r="D47" s="154">
        <f>8200-2500</f>
        <v>5700</v>
      </c>
      <c r="E47" s="154"/>
      <c r="F47" s="154"/>
      <c r="G47" s="154"/>
      <c r="H47" s="155">
        <v>6383</v>
      </c>
    </row>
    <row r="48" spans="1:8" s="106" customFormat="1" ht="15.75">
      <c r="A48" s="215" t="s">
        <v>35</v>
      </c>
      <c r="B48" s="216" t="s">
        <v>14</v>
      </c>
      <c r="C48" s="217">
        <f t="shared" si="0"/>
        <v>1261462</v>
      </c>
      <c r="D48" s="217">
        <f>SUM(D49+D52+D53)</f>
        <v>1257438</v>
      </c>
      <c r="E48" s="217">
        <f>SUM(E49+E52+E53)</f>
        <v>0</v>
      </c>
      <c r="F48" s="217">
        <f>SUM(F49+F52+F53)</f>
        <v>0</v>
      </c>
      <c r="G48" s="217">
        <f>SUM(G49+G52+G53)</f>
        <v>0</v>
      </c>
      <c r="H48" s="218">
        <f>SUM(H49+H52+H53)</f>
        <v>4024</v>
      </c>
    </row>
    <row r="49" spans="1:8" ht="15.75">
      <c r="A49" s="113" t="s">
        <v>50</v>
      </c>
      <c r="B49" s="109" t="s">
        <v>51</v>
      </c>
      <c r="C49" s="150">
        <f t="shared" si="0"/>
        <v>818331</v>
      </c>
      <c r="D49" s="150">
        <f>SUM(D50+D51)</f>
        <v>818331</v>
      </c>
      <c r="E49" s="150">
        <f>SUM(E50+E51)</f>
        <v>0</v>
      </c>
      <c r="F49" s="150">
        <f>SUM(F50+F51)</f>
        <v>0</v>
      </c>
      <c r="G49" s="150">
        <f>SUM(G50+G51)</f>
        <v>0</v>
      </c>
      <c r="H49" s="151">
        <f>SUM(H50+H51)</f>
        <v>0</v>
      </c>
    </row>
    <row r="50" spans="1:8" s="11" customFormat="1" ht="30">
      <c r="A50" s="102" t="s">
        <v>76</v>
      </c>
      <c r="B50" s="110" t="s">
        <v>594</v>
      </c>
      <c r="C50" s="154">
        <f t="shared" si="0"/>
        <v>649592</v>
      </c>
      <c r="D50" s="154">
        <v>649592</v>
      </c>
      <c r="E50" s="154"/>
      <c r="F50" s="154"/>
      <c r="G50" s="154"/>
      <c r="H50" s="155"/>
    </row>
    <row r="51" spans="1:8" s="11" customFormat="1" ht="30">
      <c r="A51" s="102" t="s">
        <v>183</v>
      </c>
      <c r="B51" s="110" t="s">
        <v>182</v>
      </c>
      <c r="C51" s="154">
        <f t="shared" si="0"/>
        <v>168739</v>
      </c>
      <c r="D51" s="154">
        <v>168739</v>
      </c>
      <c r="E51" s="154"/>
      <c r="F51" s="154"/>
      <c r="G51" s="154"/>
      <c r="H51" s="158"/>
    </row>
    <row r="52" spans="1:8" ht="15.75">
      <c r="A52" s="113" t="s">
        <v>52</v>
      </c>
      <c r="B52" s="109" t="s">
        <v>104</v>
      </c>
      <c r="C52" s="152">
        <f t="shared" si="0"/>
        <v>276060</v>
      </c>
      <c r="D52" s="152">
        <v>276060</v>
      </c>
      <c r="E52" s="152"/>
      <c r="F52" s="152"/>
      <c r="G52" s="152"/>
      <c r="H52" s="159"/>
    </row>
    <row r="53" spans="1:8" ht="28.5">
      <c r="A53" s="113" t="s">
        <v>596</v>
      </c>
      <c r="B53" s="109" t="s">
        <v>597</v>
      </c>
      <c r="C53" s="150">
        <f t="shared" si="0"/>
        <v>167071</v>
      </c>
      <c r="D53" s="150">
        <f>D54</f>
        <v>163047</v>
      </c>
      <c r="E53" s="150">
        <f>E54</f>
        <v>0</v>
      </c>
      <c r="F53" s="150">
        <f>F54</f>
        <v>0</v>
      </c>
      <c r="G53" s="150">
        <f>G54</f>
        <v>0</v>
      </c>
      <c r="H53" s="151">
        <f>H54</f>
        <v>4024</v>
      </c>
    </row>
    <row r="54" spans="1:8" ht="60">
      <c r="A54" s="102" t="s">
        <v>580</v>
      </c>
      <c r="B54" s="110" t="s">
        <v>595</v>
      </c>
      <c r="C54" s="154">
        <f t="shared" si="0"/>
        <v>167071</v>
      </c>
      <c r="D54" s="154">
        <f>58525+104522</f>
        <v>163047</v>
      </c>
      <c r="E54" s="154"/>
      <c r="F54" s="154"/>
      <c r="G54" s="154"/>
      <c r="H54" s="155">
        <v>4024</v>
      </c>
    </row>
    <row r="55" spans="1:8" s="106" customFormat="1" ht="15.75">
      <c r="A55" s="215" t="s">
        <v>36</v>
      </c>
      <c r="B55" s="216" t="s">
        <v>207</v>
      </c>
      <c r="C55" s="217">
        <f t="shared" si="0"/>
        <v>2006460</v>
      </c>
      <c r="D55" s="217">
        <f>SUM(D56+D57+D58)</f>
        <v>1895632</v>
      </c>
      <c r="E55" s="217">
        <f>SUM(E56+E57+E58)</f>
        <v>110500</v>
      </c>
      <c r="F55" s="217">
        <f>SUM(F56+F57+F58)</f>
        <v>0</v>
      </c>
      <c r="G55" s="217">
        <f>SUM(G56+G57+G58)</f>
        <v>0</v>
      </c>
      <c r="H55" s="218">
        <f>SUM(H56+H57+H58)</f>
        <v>328</v>
      </c>
    </row>
    <row r="56" spans="1:8" s="106" customFormat="1" ht="30">
      <c r="A56" s="113" t="s">
        <v>599</v>
      </c>
      <c r="B56" s="109" t="s">
        <v>598</v>
      </c>
      <c r="C56" s="150">
        <f t="shared" si="0"/>
        <v>98806</v>
      </c>
      <c r="D56" s="152">
        <v>98806</v>
      </c>
      <c r="E56" s="152"/>
      <c r="F56" s="152"/>
      <c r="G56" s="152"/>
      <c r="H56" s="159"/>
    </row>
    <row r="57" spans="1:8" ht="15.75">
      <c r="A57" s="113" t="s">
        <v>53</v>
      </c>
      <c r="B57" s="109" t="s">
        <v>54</v>
      </c>
      <c r="C57" s="150">
        <f t="shared" si="0"/>
        <v>339434</v>
      </c>
      <c r="D57" s="152">
        <v>339434</v>
      </c>
      <c r="E57" s="152"/>
      <c r="F57" s="152"/>
      <c r="G57" s="152"/>
      <c r="H57" s="159"/>
    </row>
    <row r="58" spans="1:8" ht="42.75">
      <c r="A58" s="113" t="s">
        <v>55</v>
      </c>
      <c r="B58" s="109" t="s">
        <v>486</v>
      </c>
      <c r="C58" s="150">
        <f t="shared" si="0"/>
        <v>1568220</v>
      </c>
      <c r="D58" s="150">
        <f>SUM(D59+D60+D61+D62+D63)</f>
        <v>1457392</v>
      </c>
      <c r="E58" s="150">
        <f>SUM(E59+E60+E61+E62+E63)</f>
        <v>110500</v>
      </c>
      <c r="F58" s="150">
        <f>SUM(F59+F60+F61+F62+F63)</f>
        <v>0</v>
      </c>
      <c r="G58" s="150">
        <f>SUM(G59+G60+G61+G62+G63)</f>
        <v>0</v>
      </c>
      <c r="H58" s="151">
        <f>SUM(H59+H60+H61+H62+H63)</f>
        <v>328</v>
      </c>
    </row>
    <row r="59" spans="1:8" s="11" customFormat="1" ht="15.75">
      <c r="A59" s="102" t="s">
        <v>77</v>
      </c>
      <c r="B59" s="110" t="s">
        <v>600</v>
      </c>
      <c r="C59" s="154">
        <f t="shared" si="0"/>
        <v>630412</v>
      </c>
      <c r="D59" s="154">
        <v>519584</v>
      </c>
      <c r="E59" s="154">
        <v>110500</v>
      </c>
      <c r="F59" s="154"/>
      <c r="G59" s="157"/>
      <c r="H59" s="155">
        <v>328</v>
      </c>
    </row>
    <row r="60" spans="1:8" s="11" customFormat="1" ht="45">
      <c r="A60" s="102" t="s">
        <v>78</v>
      </c>
      <c r="B60" s="110" t="s">
        <v>105</v>
      </c>
      <c r="C60" s="154">
        <f t="shared" si="0"/>
        <v>593900</v>
      </c>
      <c r="D60" s="154">
        <v>593900</v>
      </c>
      <c r="E60" s="154"/>
      <c r="F60" s="154"/>
      <c r="G60" s="154"/>
      <c r="H60" s="155"/>
    </row>
    <row r="61" spans="1:8" s="11" customFormat="1" ht="30">
      <c r="A61" s="102" t="s">
        <v>82</v>
      </c>
      <c r="B61" s="110" t="s">
        <v>169</v>
      </c>
      <c r="C61" s="154">
        <f t="shared" si="0"/>
        <v>190306</v>
      </c>
      <c r="D61" s="154">
        <v>190306</v>
      </c>
      <c r="E61" s="154"/>
      <c r="F61" s="154"/>
      <c r="G61" s="154"/>
      <c r="H61" s="158"/>
    </row>
    <row r="62" spans="1:8" s="11" customFormat="1" ht="30">
      <c r="A62" s="102" t="s">
        <v>89</v>
      </c>
      <c r="B62" s="110" t="s">
        <v>170</v>
      </c>
      <c r="C62" s="154">
        <f t="shared" si="0"/>
        <v>130000</v>
      </c>
      <c r="D62" s="154">
        <v>130000</v>
      </c>
      <c r="E62" s="154"/>
      <c r="F62" s="154"/>
      <c r="G62" s="154"/>
      <c r="H62" s="155"/>
    </row>
    <row r="63" spans="1:8" s="11" customFormat="1" ht="30">
      <c r="A63" s="102" t="s">
        <v>571</v>
      </c>
      <c r="B63" s="110" t="s">
        <v>601</v>
      </c>
      <c r="C63" s="154">
        <f t="shared" si="0"/>
        <v>23602</v>
      </c>
      <c r="D63" s="154">
        <v>23602</v>
      </c>
      <c r="E63" s="154"/>
      <c r="F63" s="154"/>
      <c r="G63" s="154"/>
      <c r="H63" s="155"/>
    </row>
    <row r="64" spans="1:8" s="11" customFormat="1" ht="15.75">
      <c r="A64" s="215" t="s">
        <v>189</v>
      </c>
      <c r="B64" s="216" t="s">
        <v>190</v>
      </c>
      <c r="C64" s="217">
        <f aca="true" t="shared" si="3" ref="C64:H64">C65+C66+C67+C68+C69</f>
        <v>108511</v>
      </c>
      <c r="D64" s="217">
        <f t="shared" si="3"/>
        <v>108268</v>
      </c>
      <c r="E64" s="217">
        <f t="shared" si="3"/>
        <v>0</v>
      </c>
      <c r="F64" s="217">
        <f t="shared" si="3"/>
        <v>0</v>
      </c>
      <c r="G64" s="217">
        <f t="shared" si="3"/>
        <v>0</v>
      </c>
      <c r="H64" s="218">
        <f t="shared" si="3"/>
        <v>243</v>
      </c>
    </row>
    <row r="65" spans="1:8" s="11" customFormat="1" ht="15.75">
      <c r="A65" s="102" t="s">
        <v>217</v>
      </c>
      <c r="B65" s="110" t="s">
        <v>218</v>
      </c>
      <c r="C65" s="154">
        <f t="shared" si="0"/>
        <v>59700</v>
      </c>
      <c r="D65" s="154">
        <v>59700</v>
      </c>
      <c r="E65" s="154"/>
      <c r="F65" s="154"/>
      <c r="G65" s="154"/>
      <c r="H65" s="155"/>
    </row>
    <row r="66" spans="1:8" s="11" customFormat="1" ht="30">
      <c r="A66" s="102" t="s">
        <v>219</v>
      </c>
      <c r="B66" s="110" t="s">
        <v>220</v>
      </c>
      <c r="C66" s="154">
        <f t="shared" si="0"/>
        <v>10000</v>
      </c>
      <c r="D66" s="154">
        <v>10000</v>
      </c>
      <c r="E66" s="154"/>
      <c r="F66" s="154"/>
      <c r="G66" s="154"/>
      <c r="H66" s="155"/>
    </row>
    <row r="67" spans="1:8" s="11" customFormat="1" ht="15.75">
      <c r="A67" s="102" t="s">
        <v>221</v>
      </c>
      <c r="B67" s="110" t="s">
        <v>222</v>
      </c>
      <c r="C67" s="154">
        <f t="shared" si="0"/>
        <v>20000</v>
      </c>
      <c r="D67" s="154">
        <v>20000</v>
      </c>
      <c r="E67" s="154"/>
      <c r="F67" s="154"/>
      <c r="G67" s="154"/>
      <c r="H67" s="155"/>
    </row>
    <row r="68" spans="1:8" s="11" customFormat="1" ht="15.75">
      <c r="A68" s="102" t="s">
        <v>195</v>
      </c>
      <c r="B68" s="110" t="s">
        <v>602</v>
      </c>
      <c r="C68" s="154">
        <f t="shared" si="0"/>
        <v>2210</v>
      </c>
      <c r="D68" s="154">
        <v>2210</v>
      </c>
      <c r="E68" s="154"/>
      <c r="F68" s="154"/>
      <c r="G68" s="154"/>
      <c r="H68" s="155"/>
    </row>
    <row r="69" spans="1:8" s="11" customFormat="1" ht="30">
      <c r="A69" s="102" t="s">
        <v>581</v>
      </c>
      <c r="B69" s="110" t="s">
        <v>604</v>
      </c>
      <c r="C69" s="154">
        <f t="shared" si="0"/>
        <v>16601</v>
      </c>
      <c r="D69" s="154">
        <v>16358</v>
      </c>
      <c r="E69" s="154"/>
      <c r="F69" s="154"/>
      <c r="G69" s="154"/>
      <c r="H69" s="155">
        <v>243</v>
      </c>
    </row>
    <row r="70" spans="1:8" s="106" customFormat="1" ht="15.75">
      <c r="A70" s="215" t="s">
        <v>37</v>
      </c>
      <c r="B70" s="216" t="s">
        <v>15</v>
      </c>
      <c r="C70" s="217">
        <f t="shared" si="0"/>
        <v>3426411</v>
      </c>
      <c r="D70" s="217">
        <f>SUM(D71+D75+D90+D91)</f>
        <v>3168106</v>
      </c>
      <c r="E70" s="217">
        <f>SUM(E71+E75+E90+E91)</f>
        <v>232700</v>
      </c>
      <c r="F70" s="217">
        <f>SUM(F71+F75+F90+F91)</f>
        <v>11494</v>
      </c>
      <c r="G70" s="217">
        <f>SUM(G71+G75+G90+G91)</f>
        <v>12412</v>
      </c>
      <c r="H70" s="218">
        <f>SUM(H71+H75+H90+H91)</f>
        <v>1699</v>
      </c>
    </row>
    <row r="71" spans="1:8" ht="15.75">
      <c r="A71" s="113" t="s">
        <v>58</v>
      </c>
      <c r="B71" s="109" t="s">
        <v>59</v>
      </c>
      <c r="C71" s="150">
        <f t="shared" si="0"/>
        <v>666001</v>
      </c>
      <c r="D71" s="150">
        <f>SUM(D72+D73+D74)</f>
        <v>645666</v>
      </c>
      <c r="E71" s="150">
        <f>SUM(E72+E73+E74)</f>
        <v>20000</v>
      </c>
      <c r="F71" s="150">
        <f>SUM(F72+F73+F74)</f>
        <v>0</v>
      </c>
      <c r="G71" s="150">
        <f>SUM(G72+G73+G74)</f>
        <v>0</v>
      </c>
      <c r="H71" s="151">
        <f>SUM(H72+H73+H74)</f>
        <v>335</v>
      </c>
    </row>
    <row r="72" spans="1:8" s="11" customFormat="1" ht="15.75">
      <c r="A72" s="102" t="s">
        <v>80</v>
      </c>
      <c r="B72" s="110" t="s">
        <v>603</v>
      </c>
      <c r="C72" s="154">
        <f t="shared" si="0"/>
        <v>316530</v>
      </c>
      <c r="D72" s="154">
        <f>317695-21500</f>
        <v>296195</v>
      </c>
      <c r="E72" s="154">
        <v>20000</v>
      </c>
      <c r="F72" s="154"/>
      <c r="G72" s="154"/>
      <c r="H72" s="155">
        <v>335</v>
      </c>
    </row>
    <row r="73" spans="1:8" s="11" customFormat="1" ht="15.75">
      <c r="A73" s="102" t="s">
        <v>81</v>
      </c>
      <c r="B73" s="110" t="s">
        <v>171</v>
      </c>
      <c r="C73" s="154">
        <f t="shared" si="0"/>
        <v>345971</v>
      </c>
      <c r="D73" s="154">
        <f>324471+21500</f>
        <v>345971</v>
      </c>
      <c r="E73" s="154"/>
      <c r="F73" s="154"/>
      <c r="G73" s="154"/>
      <c r="H73" s="155"/>
    </row>
    <row r="74" spans="1:8" s="11" customFormat="1" ht="30">
      <c r="A74" s="102" t="s">
        <v>244</v>
      </c>
      <c r="B74" s="110" t="s">
        <v>498</v>
      </c>
      <c r="C74" s="154">
        <f t="shared" si="0"/>
        <v>3500</v>
      </c>
      <c r="D74" s="154">
        <v>3500</v>
      </c>
      <c r="E74" s="154"/>
      <c r="F74" s="154"/>
      <c r="G74" s="154"/>
      <c r="H74" s="155"/>
    </row>
    <row r="75" spans="1:8" ht="15.75">
      <c r="A75" s="113" t="s">
        <v>60</v>
      </c>
      <c r="B75" s="109" t="s">
        <v>61</v>
      </c>
      <c r="C75" s="150">
        <f t="shared" si="0"/>
        <v>2376566</v>
      </c>
      <c r="D75" s="150">
        <f>D76+D77+D79+D82+D86</f>
        <v>2144596</v>
      </c>
      <c r="E75" s="150">
        <f>E76+E77+E79+E82+E86</f>
        <v>206700</v>
      </c>
      <c r="F75" s="150">
        <f>F76+F77+F79+F82+F86</f>
        <v>11494</v>
      </c>
      <c r="G75" s="150">
        <f>G76+G77+G79+G82+G86</f>
        <v>12412</v>
      </c>
      <c r="H75" s="151">
        <f>H76+H77+H79+H82+H86</f>
        <v>1364</v>
      </c>
    </row>
    <row r="76" spans="1:8" ht="30">
      <c r="A76" s="146" t="s">
        <v>62</v>
      </c>
      <c r="B76" s="109" t="s">
        <v>607</v>
      </c>
      <c r="C76" s="156">
        <f>SUM(D76+E76+F76+G76+H76)</f>
        <v>418472</v>
      </c>
      <c r="D76" s="156">
        <v>401327</v>
      </c>
      <c r="E76" s="156">
        <v>4500</v>
      </c>
      <c r="F76" s="156"/>
      <c r="G76" s="156">
        <v>12412</v>
      </c>
      <c r="H76" s="162">
        <v>233</v>
      </c>
    </row>
    <row r="77" spans="1:8" ht="15.75">
      <c r="A77" s="146" t="s">
        <v>63</v>
      </c>
      <c r="B77" s="109" t="s">
        <v>605</v>
      </c>
      <c r="C77" s="150">
        <f>SUM(D77+E77+F77+G77+H77)</f>
        <v>262480</v>
      </c>
      <c r="D77" s="150">
        <f>SUM(D78)</f>
        <v>257199</v>
      </c>
      <c r="E77" s="150">
        <f>SUM(E78)</f>
        <v>5200</v>
      </c>
      <c r="F77" s="150">
        <f>SUM(F78)</f>
        <v>0</v>
      </c>
      <c r="G77" s="150">
        <f>SUM(G78)</f>
        <v>0</v>
      </c>
      <c r="H77" s="151">
        <f>SUM(H78)</f>
        <v>81</v>
      </c>
    </row>
    <row r="78" spans="1:8" s="11" customFormat="1" ht="30">
      <c r="A78" s="102" t="s">
        <v>107</v>
      </c>
      <c r="B78" s="110" t="s">
        <v>606</v>
      </c>
      <c r="C78" s="154">
        <f t="shared" si="0"/>
        <v>262480</v>
      </c>
      <c r="D78" s="154">
        <v>257199</v>
      </c>
      <c r="E78" s="154">
        <v>5200</v>
      </c>
      <c r="F78" s="154"/>
      <c r="G78" s="154"/>
      <c r="H78" s="155">
        <v>81</v>
      </c>
    </row>
    <row r="79" spans="1:8" ht="15.75">
      <c r="A79" s="113" t="s">
        <v>64</v>
      </c>
      <c r="B79" s="109" t="s">
        <v>480</v>
      </c>
      <c r="C79" s="150">
        <f t="shared" si="0"/>
        <v>1236758</v>
      </c>
      <c r="D79" s="150">
        <f>SUM(D80:D81)</f>
        <v>1039683</v>
      </c>
      <c r="E79" s="150">
        <f>SUM(E80:E81)</f>
        <v>197000</v>
      </c>
      <c r="F79" s="150">
        <f>SUM(F80:F81)</f>
        <v>0</v>
      </c>
      <c r="G79" s="150">
        <f>SUM(G80:G81)</f>
        <v>0</v>
      </c>
      <c r="H79" s="151">
        <f>SUM(H80:H81)</f>
        <v>75</v>
      </c>
    </row>
    <row r="80" spans="1:8" ht="15.75">
      <c r="A80" s="103" t="s">
        <v>251</v>
      </c>
      <c r="B80" s="111" t="s">
        <v>608</v>
      </c>
      <c r="C80" s="70">
        <f t="shared" si="0"/>
        <v>857663</v>
      </c>
      <c r="D80" s="70">
        <f>778088-7500</f>
        <v>770588</v>
      </c>
      <c r="E80" s="70">
        <v>87000</v>
      </c>
      <c r="F80" s="70"/>
      <c r="G80" s="70"/>
      <c r="H80" s="174">
        <v>75</v>
      </c>
    </row>
    <row r="81" spans="1:8" ht="15.75">
      <c r="A81" s="122" t="s">
        <v>252</v>
      </c>
      <c r="B81" s="110" t="s">
        <v>609</v>
      </c>
      <c r="C81" s="60">
        <f t="shared" si="0"/>
        <v>379095</v>
      </c>
      <c r="D81" s="60">
        <v>269095</v>
      </c>
      <c r="E81" s="60">
        <v>110000</v>
      </c>
      <c r="F81" s="60"/>
      <c r="G81" s="60"/>
      <c r="H81" s="61"/>
    </row>
    <row r="82" spans="1:8" ht="15.75">
      <c r="A82" s="113" t="s">
        <v>65</v>
      </c>
      <c r="B82" s="109" t="s">
        <v>113</v>
      </c>
      <c r="C82" s="150">
        <f t="shared" si="0"/>
        <v>80545</v>
      </c>
      <c r="D82" s="150">
        <f>SUM(D83:D85)</f>
        <v>80545</v>
      </c>
      <c r="E82" s="150">
        <f>SUM(E83:E85)</f>
        <v>0</v>
      </c>
      <c r="F82" s="150">
        <f>SUM(F83:F85)</f>
        <v>0</v>
      </c>
      <c r="G82" s="150">
        <f>SUM(G83:G85)</f>
        <v>0</v>
      </c>
      <c r="H82" s="151">
        <f>SUM(H83:H85)</f>
        <v>0</v>
      </c>
    </row>
    <row r="83" spans="1:8" ht="15.75">
      <c r="A83" s="102" t="s">
        <v>241</v>
      </c>
      <c r="B83" s="110" t="s">
        <v>242</v>
      </c>
      <c r="C83" s="60">
        <f t="shared" si="0"/>
        <v>39625</v>
      </c>
      <c r="D83" s="60">
        <v>39625</v>
      </c>
      <c r="E83" s="60"/>
      <c r="F83" s="60"/>
      <c r="G83" s="60"/>
      <c r="H83" s="61"/>
    </row>
    <row r="84" spans="1:8" ht="15.75">
      <c r="A84" s="102" t="s">
        <v>574</v>
      </c>
      <c r="B84" s="110" t="s">
        <v>610</v>
      </c>
      <c r="C84" s="60">
        <f t="shared" si="0"/>
        <v>28505</v>
      </c>
      <c r="D84" s="60">
        <v>28505</v>
      </c>
      <c r="E84" s="60"/>
      <c r="F84" s="60"/>
      <c r="G84" s="60"/>
      <c r="H84" s="61"/>
    </row>
    <row r="85" spans="1:8" ht="30">
      <c r="A85" s="102" t="s">
        <v>245</v>
      </c>
      <c r="B85" s="110" t="s">
        <v>246</v>
      </c>
      <c r="C85" s="60">
        <f>SUM(D85+E85+F85+G85+H85)</f>
        <v>12415</v>
      </c>
      <c r="D85" s="60">
        <v>12415</v>
      </c>
      <c r="E85" s="60"/>
      <c r="F85" s="60"/>
      <c r="G85" s="60"/>
      <c r="H85" s="61"/>
    </row>
    <row r="86" spans="1:8" ht="15.75">
      <c r="A86" s="113" t="s">
        <v>66</v>
      </c>
      <c r="B86" s="109" t="s">
        <v>175</v>
      </c>
      <c r="C86" s="150">
        <f aca="true" t="shared" si="4" ref="C86:C156">SUM(D86+E86+F86+G86+H86)</f>
        <v>378311</v>
      </c>
      <c r="D86" s="150">
        <f>SUM(D87:D89)</f>
        <v>365842</v>
      </c>
      <c r="E86" s="150">
        <f>SUM(E87:E89)</f>
        <v>0</v>
      </c>
      <c r="F86" s="150">
        <f>SUM(F87:F89)</f>
        <v>11494</v>
      </c>
      <c r="G86" s="150">
        <f>SUM(G87:G89)</f>
        <v>0</v>
      </c>
      <c r="H86" s="151">
        <f>SUM(H87:H89)</f>
        <v>975</v>
      </c>
    </row>
    <row r="87" spans="1:8" s="11" customFormat="1" ht="15.75">
      <c r="A87" s="102" t="s">
        <v>91</v>
      </c>
      <c r="B87" s="110" t="s">
        <v>172</v>
      </c>
      <c r="C87" s="154">
        <f t="shared" si="4"/>
        <v>190007</v>
      </c>
      <c r="D87" s="154">
        <f>170400+7500</f>
        <v>177900</v>
      </c>
      <c r="E87" s="154"/>
      <c r="F87" s="154">
        <v>11494</v>
      </c>
      <c r="G87" s="154"/>
      <c r="H87" s="155">
        <v>613</v>
      </c>
    </row>
    <row r="88" spans="1:8" s="11" customFormat="1" ht="15.75">
      <c r="A88" s="102" t="s">
        <v>92</v>
      </c>
      <c r="B88" s="110" t="s">
        <v>173</v>
      </c>
      <c r="C88" s="154">
        <f t="shared" si="4"/>
        <v>188304</v>
      </c>
      <c r="D88" s="154">
        <v>188304</v>
      </c>
      <c r="E88" s="154"/>
      <c r="F88" s="154"/>
      <c r="G88" s="154"/>
      <c r="H88" s="155"/>
    </row>
    <row r="89" spans="1:8" s="11" customFormat="1" ht="60">
      <c r="A89" s="102" t="s">
        <v>433</v>
      </c>
      <c r="B89" s="110" t="s">
        <v>434</v>
      </c>
      <c r="C89" s="154">
        <f t="shared" si="4"/>
        <v>0</v>
      </c>
      <c r="D89" s="154">
        <v>-362</v>
      </c>
      <c r="E89" s="154"/>
      <c r="F89" s="154"/>
      <c r="G89" s="154"/>
      <c r="H89" s="155">
        <v>362</v>
      </c>
    </row>
    <row r="90" spans="1:8" ht="15.75">
      <c r="A90" s="113" t="s">
        <v>90</v>
      </c>
      <c r="B90" s="109" t="s">
        <v>611</v>
      </c>
      <c r="C90" s="152">
        <f t="shared" si="4"/>
        <v>235010</v>
      </c>
      <c r="D90" s="152">
        <v>229010</v>
      </c>
      <c r="E90" s="152">
        <v>6000</v>
      </c>
      <c r="F90" s="152"/>
      <c r="G90" s="152"/>
      <c r="H90" s="159"/>
    </row>
    <row r="91" spans="1:8" ht="28.5">
      <c r="A91" s="113" t="s">
        <v>67</v>
      </c>
      <c r="B91" s="109" t="s">
        <v>257</v>
      </c>
      <c r="C91" s="150">
        <f t="shared" si="4"/>
        <v>148834</v>
      </c>
      <c r="D91" s="150">
        <f>SUM(D92:D95)</f>
        <v>148834</v>
      </c>
      <c r="E91" s="150">
        <f>SUM(E92:E95)</f>
        <v>0</v>
      </c>
      <c r="F91" s="150">
        <f>SUM(F92:F95)</f>
        <v>0</v>
      </c>
      <c r="G91" s="150">
        <f>SUM(G92:G95)</f>
        <v>0</v>
      </c>
      <c r="H91" s="151">
        <f>SUM(H92:H95)</f>
        <v>0</v>
      </c>
    </row>
    <row r="92" spans="1:8" ht="15.75">
      <c r="A92" s="102" t="s">
        <v>247</v>
      </c>
      <c r="B92" s="110" t="s">
        <v>487</v>
      </c>
      <c r="C92" s="60">
        <f t="shared" si="4"/>
        <v>30000</v>
      </c>
      <c r="D92" s="60">
        <v>30000</v>
      </c>
      <c r="E92" s="60"/>
      <c r="F92" s="60"/>
      <c r="G92" s="60"/>
      <c r="H92" s="61"/>
    </row>
    <row r="93" spans="1:8" ht="15.75">
      <c r="A93" s="102" t="s">
        <v>248</v>
      </c>
      <c r="B93" s="110" t="s">
        <v>254</v>
      </c>
      <c r="C93" s="60">
        <f t="shared" si="4"/>
        <v>7000</v>
      </c>
      <c r="D93" s="60">
        <v>7000</v>
      </c>
      <c r="E93" s="60"/>
      <c r="F93" s="60"/>
      <c r="G93" s="60"/>
      <c r="H93" s="61"/>
    </row>
    <row r="94" spans="1:8" ht="30">
      <c r="A94" s="102" t="s">
        <v>253</v>
      </c>
      <c r="B94" s="110" t="s">
        <v>255</v>
      </c>
      <c r="C94" s="60">
        <f t="shared" si="4"/>
        <v>3000</v>
      </c>
      <c r="D94" s="60">
        <v>3000</v>
      </c>
      <c r="E94" s="60"/>
      <c r="F94" s="60"/>
      <c r="G94" s="60"/>
      <c r="H94" s="61"/>
    </row>
    <row r="95" spans="1:8" ht="30">
      <c r="A95" s="102" t="s">
        <v>256</v>
      </c>
      <c r="B95" s="110" t="s">
        <v>612</v>
      </c>
      <c r="C95" s="60">
        <f t="shared" si="4"/>
        <v>108834</v>
      </c>
      <c r="D95" s="60">
        <v>108834</v>
      </c>
      <c r="E95" s="60"/>
      <c r="F95" s="60"/>
      <c r="G95" s="60"/>
      <c r="H95" s="61"/>
    </row>
    <row r="96" spans="1:8" s="106" customFormat="1" ht="15.75">
      <c r="A96" s="215" t="s">
        <v>38</v>
      </c>
      <c r="B96" s="216" t="s">
        <v>16</v>
      </c>
      <c r="C96" s="217">
        <f t="shared" si="4"/>
        <v>13896915</v>
      </c>
      <c r="D96" s="217">
        <f>SUM(D97+D100+D108+D113+D116+D119)</f>
        <v>8330826</v>
      </c>
      <c r="E96" s="217">
        <f>SUM(E97+E100+E108+E113+E116+E119)</f>
        <v>290810</v>
      </c>
      <c r="F96" s="217">
        <f>SUM(F97+F100+F108+F113+F116+F119)</f>
        <v>4652560</v>
      </c>
      <c r="G96" s="217">
        <f>SUM(G97+G100+G108+G113+G116+G119)</f>
        <v>206100</v>
      </c>
      <c r="H96" s="218">
        <f>SUM(H97+H100+H108+H113+H116+H119)</f>
        <v>416619</v>
      </c>
    </row>
    <row r="97" spans="1:8" ht="15.75">
      <c r="A97" s="113" t="s">
        <v>110</v>
      </c>
      <c r="B97" s="109" t="s">
        <v>613</v>
      </c>
      <c r="C97" s="150">
        <f t="shared" si="4"/>
        <v>3097609</v>
      </c>
      <c r="D97" s="150">
        <f>SUM(D98:D99)</f>
        <v>2698488</v>
      </c>
      <c r="E97" s="150">
        <f>SUM(E98:E99)</f>
        <v>18880</v>
      </c>
      <c r="F97" s="150">
        <f>SUM(F98:F99)</f>
        <v>265389</v>
      </c>
      <c r="G97" s="150">
        <f>SUM(G98:G99)</f>
        <v>100000</v>
      </c>
      <c r="H97" s="151">
        <f>SUM(H98:H99)</f>
        <v>14852</v>
      </c>
    </row>
    <row r="98" spans="1:10" s="11" customFormat="1" ht="15.75">
      <c r="A98" s="102" t="s">
        <v>223</v>
      </c>
      <c r="B98" s="110" t="s">
        <v>488</v>
      </c>
      <c r="C98" s="154">
        <f t="shared" si="4"/>
        <v>3067609</v>
      </c>
      <c r="D98" s="154">
        <v>2668488</v>
      </c>
      <c r="E98" s="154">
        <v>18880</v>
      </c>
      <c r="F98" s="154">
        <v>265389</v>
      </c>
      <c r="G98" s="154">
        <v>100000</v>
      </c>
      <c r="H98" s="158">
        <f>15663-811</f>
        <v>14852</v>
      </c>
      <c r="I98" s="149"/>
      <c r="J98" s="149"/>
    </row>
    <row r="99" spans="1:10" s="11" customFormat="1" ht="30">
      <c r="A99" s="102" t="s">
        <v>615</v>
      </c>
      <c r="B99" s="110" t="s">
        <v>614</v>
      </c>
      <c r="C99" s="154">
        <f t="shared" si="4"/>
        <v>30000</v>
      </c>
      <c r="D99" s="154">
        <v>30000</v>
      </c>
      <c r="E99" s="154"/>
      <c r="F99" s="154"/>
      <c r="G99" s="154"/>
      <c r="H99" s="158"/>
      <c r="I99" s="149"/>
      <c r="J99" s="149"/>
    </row>
    <row r="100" spans="1:8" ht="28.5">
      <c r="A100" s="113" t="s">
        <v>114</v>
      </c>
      <c r="B100" s="109" t="s">
        <v>115</v>
      </c>
      <c r="C100" s="150">
        <f t="shared" si="4"/>
        <v>7942691</v>
      </c>
      <c r="D100" s="150">
        <f>SUM(D101+D105)</f>
        <v>3507300</v>
      </c>
      <c r="E100" s="150">
        <f>SUM(E101+E105)</f>
        <v>75190</v>
      </c>
      <c r="F100" s="150">
        <f>SUM(F101+F105)</f>
        <v>3986442</v>
      </c>
      <c r="G100" s="150">
        <f>SUM(G101+G105)</f>
        <v>106100</v>
      </c>
      <c r="H100" s="151">
        <f>SUM(H101+H105)</f>
        <v>267659</v>
      </c>
    </row>
    <row r="101" spans="1:8" ht="15.75">
      <c r="A101" s="146" t="s">
        <v>243</v>
      </c>
      <c r="B101" s="109" t="s">
        <v>616</v>
      </c>
      <c r="C101" s="150">
        <f t="shared" si="4"/>
        <v>7263348</v>
      </c>
      <c r="D101" s="150">
        <f>SUM(D102:D104)</f>
        <v>3190598</v>
      </c>
      <c r="E101" s="150">
        <f>SUM(E102:E104)</f>
        <v>51940</v>
      </c>
      <c r="F101" s="150">
        <f>SUM(F102:F104)</f>
        <v>3688557</v>
      </c>
      <c r="G101" s="150">
        <f>SUM(G102:G104)</f>
        <v>100000</v>
      </c>
      <c r="H101" s="151">
        <f>SUM(H102:H104)</f>
        <v>232253</v>
      </c>
    </row>
    <row r="102" spans="1:8" ht="15.75">
      <c r="A102" s="147" t="s">
        <v>617</v>
      </c>
      <c r="B102" s="110" t="s">
        <v>249</v>
      </c>
      <c r="C102" s="154">
        <f t="shared" si="4"/>
        <v>6308062</v>
      </c>
      <c r="D102" s="154">
        <v>3081295</v>
      </c>
      <c r="E102" s="154">
        <v>47250</v>
      </c>
      <c r="F102" s="154">
        <v>2939445</v>
      </c>
      <c r="G102" s="154">
        <v>100000</v>
      </c>
      <c r="H102" s="155">
        <f>139671+401</f>
        <v>140072</v>
      </c>
    </row>
    <row r="103" spans="1:8" s="11" customFormat="1" ht="30">
      <c r="A103" s="147" t="s">
        <v>618</v>
      </c>
      <c r="B103" s="110" t="s">
        <v>430</v>
      </c>
      <c r="C103" s="154">
        <f>SUM(D103+E103+F103+G103+H103)</f>
        <v>910810</v>
      </c>
      <c r="D103" s="154">
        <v>109303</v>
      </c>
      <c r="E103" s="154">
        <v>4690</v>
      </c>
      <c r="F103" s="154">
        <v>743208</v>
      </c>
      <c r="G103" s="154"/>
      <c r="H103" s="155">
        <f>53199-401+811</f>
        <v>53609</v>
      </c>
    </row>
    <row r="104" spans="1:8" s="11" customFormat="1" ht="30">
      <c r="A104" s="147" t="s">
        <v>582</v>
      </c>
      <c r="B104" s="110" t="s">
        <v>619</v>
      </c>
      <c r="C104" s="154">
        <f>SUM(D104+E104+F104+G104+H104)</f>
        <v>44476</v>
      </c>
      <c r="D104" s="154"/>
      <c r="E104" s="154"/>
      <c r="F104" s="154">
        <v>5904</v>
      </c>
      <c r="G104" s="154"/>
      <c r="H104" s="155">
        <v>38572</v>
      </c>
    </row>
    <row r="105" spans="1:8" ht="15.75">
      <c r="A105" s="113" t="s">
        <v>224</v>
      </c>
      <c r="B105" s="109" t="s">
        <v>225</v>
      </c>
      <c r="C105" s="150">
        <f>SUM(D105:H105)</f>
        <v>679343</v>
      </c>
      <c r="D105" s="150">
        <f>SUM(D106:D107)</f>
        <v>316702</v>
      </c>
      <c r="E105" s="150">
        <f>SUM(E106:E107)</f>
        <v>23250</v>
      </c>
      <c r="F105" s="150">
        <f>SUM(F106:F107)</f>
        <v>297885</v>
      </c>
      <c r="G105" s="150">
        <f>SUM(G106:G107)</f>
        <v>6100</v>
      </c>
      <c r="H105" s="151">
        <f>SUM(H106:H107)</f>
        <v>35406</v>
      </c>
    </row>
    <row r="106" spans="1:8" s="107" customFormat="1" ht="15.75">
      <c r="A106" s="102" t="s">
        <v>622</v>
      </c>
      <c r="B106" s="110" t="s">
        <v>621</v>
      </c>
      <c r="C106" s="154">
        <f t="shared" si="4"/>
        <v>579110</v>
      </c>
      <c r="D106" s="154">
        <v>316702</v>
      </c>
      <c r="E106" s="154">
        <v>23250</v>
      </c>
      <c r="F106" s="154">
        <v>210392</v>
      </c>
      <c r="G106" s="154">
        <v>6100</v>
      </c>
      <c r="H106" s="158">
        <v>22666</v>
      </c>
    </row>
    <row r="107" spans="1:8" s="107" customFormat="1" ht="30">
      <c r="A107" s="102" t="s">
        <v>623</v>
      </c>
      <c r="B107" s="110" t="s">
        <v>620</v>
      </c>
      <c r="C107" s="154">
        <f t="shared" si="4"/>
        <v>100233</v>
      </c>
      <c r="D107" s="154"/>
      <c r="E107" s="154"/>
      <c r="F107" s="154">
        <f>81173+6320</f>
        <v>87493</v>
      </c>
      <c r="G107" s="154"/>
      <c r="H107" s="158">
        <v>12740</v>
      </c>
    </row>
    <row r="108" spans="1:8" ht="15.75">
      <c r="A108" s="113" t="s">
        <v>93</v>
      </c>
      <c r="B108" s="109" t="s">
        <v>116</v>
      </c>
      <c r="C108" s="150">
        <f>SUM(D108+E108+F108+G108+H108)</f>
        <v>1691070</v>
      </c>
      <c r="D108" s="150">
        <f>SUM(D109:D112)</f>
        <v>1241767</v>
      </c>
      <c r="E108" s="150">
        <f>SUM(E109:E112)</f>
        <v>107040</v>
      </c>
      <c r="F108" s="150">
        <f>SUM(F109:F112)</f>
        <v>318579</v>
      </c>
      <c r="G108" s="150">
        <f>SUM(G109:G112)</f>
        <v>0</v>
      </c>
      <c r="H108" s="151">
        <f>SUM(H109:H112)</f>
        <v>23684</v>
      </c>
    </row>
    <row r="109" spans="1:8" s="11" customFormat="1" ht="30">
      <c r="A109" s="102" t="s">
        <v>95</v>
      </c>
      <c r="B109" s="111" t="s">
        <v>624</v>
      </c>
      <c r="C109" s="157">
        <f t="shared" si="4"/>
        <v>463125</v>
      </c>
      <c r="D109" s="157">
        <v>261684</v>
      </c>
      <c r="E109" s="157">
        <v>38605</v>
      </c>
      <c r="F109" s="157">
        <v>150228</v>
      </c>
      <c r="G109" s="157"/>
      <c r="H109" s="155">
        <v>12608</v>
      </c>
    </row>
    <row r="110" spans="1:8" s="11" customFormat="1" ht="15.75">
      <c r="A110" s="102" t="s">
        <v>96</v>
      </c>
      <c r="B110" s="111" t="s">
        <v>111</v>
      </c>
      <c r="C110" s="157">
        <f>SUM(D110+E110+F110+G110+H110)</f>
        <v>139727</v>
      </c>
      <c r="D110" s="157">
        <v>95967</v>
      </c>
      <c r="E110" s="157">
        <v>11235</v>
      </c>
      <c r="F110" s="157">
        <v>30146</v>
      </c>
      <c r="G110" s="157"/>
      <c r="H110" s="155">
        <v>2379</v>
      </c>
    </row>
    <row r="111" spans="1:8" s="11" customFormat="1" ht="15.75">
      <c r="A111" s="102" t="s">
        <v>117</v>
      </c>
      <c r="B111" s="111" t="s">
        <v>427</v>
      </c>
      <c r="C111" s="157">
        <f>SUM(D111+E111+F111+G111+H111)</f>
        <v>1079040</v>
      </c>
      <c r="D111" s="157">
        <f>356704+176266+351146</f>
        <v>884116</v>
      </c>
      <c r="E111" s="157">
        <f>11900+1300+44000</f>
        <v>57200</v>
      </c>
      <c r="F111" s="157">
        <v>136013</v>
      </c>
      <c r="G111" s="157"/>
      <c r="H111" s="155">
        <v>1711</v>
      </c>
    </row>
    <row r="112" spans="1:8" s="11" customFormat="1" ht="30">
      <c r="A112" s="102" t="s">
        <v>583</v>
      </c>
      <c r="B112" s="111" t="s">
        <v>625</v>
      </c>
      <c r="C112" s="157">
        <f>SUM(D112+E112+F112+G112+H112)</f>
        <v>9178</v>
      </c>
      <c r="D112" s="157"/>
      <c r="E112" s="157"/>
      <c r="F112" s="157">
        <v>2192</v>
      </c>
      <c r="G112" s="157"/>
      <c r="H112" s="155">
        <v>6986</v>
      </c>
    </row>
    <row r="113" spans="1:8" s="11" customFormat="1" ht="15.75">
      <c r="A113" s="113" t="s">
        <v>226</v>
      </c>
      <c r="B113" s="115" t="s">
        <v>227</v>
      </c>
      <c r="C113" s="160">
        <f aca="true" t="shared" si="5" ref="C113:C118">SUM(D113+E113+F113+G113+H113)</f>
        <v>698519</v>
      </c>
      <c r="D113" s="160">
        <f>SUM(D114+D115)</f>
        <v>449945</v>
      </c>
      <c r="E113" s="160">
        <f>SUM(E114+E115)</f>
        <v>89700</v>
      </c>
      <c r="F113" s="160">
        <f>SUM(F114+F115)</f>
        <v>50000</v>
      </c>
      <c r="G113" s="160">
        <f>SUM(G114+G115)</f>
        <v>0</v>
      </c>
      <c r="H113" s="151">
        <f>SUM(H114+H115)</f>
        <v>108874</v>
      </c>
    </row>
    <row r="114" spans="1:8" s="11" customFormat="1" ht="30">
      <c r="A114" s="102" t="s">
        <v>228</v>
      </c>
      <c r="B114" s="110" t="s">
        <v>626</v>
      </c>
      <c r="C114" s="154">
        <f t="shared" si="5"/>
        <v>539682</v>
      </c>
      <c r="D114" s="154">
        <v>449945</v>
      </c>
      <c r="E114" s="154">
        <v>89700</v>
      </c>
      <c r="F114" s="154"/>
      <c r="G114" s="154"/>
      <c r="H114" s="155">
        <v>37</v>
      </c>
    </row>
    <row r="115" spans="1:8" s="11" customFormat="1" ht="30">
      <c r="A115" s="103" t="s">
        <v>229</v>
      </c>
      <c r="B115" s="111" t="s">
        <v>627</v>
      </c>
      <c r="C115" s="154">
        <f t="shared" si="5"/>
        <v>158837</v>
      </c>
      <c r="D115" s="154"/>
      <c r="E115" s="154"/>
      <c r="F115" s="154">
        <v>50000</v>
      </c>
      <c r="G115" s="154"/>
      <c r="H115" s="155">
        <v>108837</v>
      </c>
    </row>
    <row r="116" spans="1:8" s="11" customFormat="1" ht="15.75">
      <c r="A116" s="114" t="s">
        <v>230</v>
      </c>
      <c r="B116" s="115" t="s">
        <v>260</v>
      </c>
      <c r="C116" s="152">
        <f t="shared" si="5"/>
        <v>3000</v>
      </c>
      <c r="D116" s="150">
        <f>SUM(D117:D118)</f>
        <v>3000</v>
      </c>
      <c r="E116" s="150">
        <f>SUM(E117:E118)</f>
        <v>0</v>
      </c>
      <c r="F116" s="150">
        <f>SUM(F117:F118)</f>
        <v>0</v>
      </c>
      <c r="G116" s="150">
        <f>SUM(G117:G118)</f>
        <v>0</v>
      </c>
      <c r="H116" s="151">
        <f>SUM(H117:H118)</f>
        <v>0</v>
      </c>
    </row>
    <row r="117" spans="1:8" s="11" customFormat="1" ht="30">
      <c r="A117" s="103" t="s">
        <v>258</v>
      </c>
      <c r="B117" s="111" t="s">
        <v>628</v>
      </c>
      <c r="C117" s="154">
        <f t="shared" si="5"/>
        <v>2000</v>
      </c>
      <c r="D117" s="154">
        <v>2000</v>
      </c>
      <c r="E117" s="154"/>
      <c r="F117" s="154"/>
      <c r="G117" s="154"/>
      <c r="H117" s="155"/>
    </row>
    <row r="118" spans="1:8" s="11" customFormat="1" ht="15.75">
      <c r="A118" s="103" t="s">
        <v>259</v>
      </c>
      <c r="B118" s="111" t="s">
        <v>629</v>
      </c>
      <c r="C118" s="154">
        <f t="shared" si="5"/>
        <v>1000</v>
      </c>
      <c r="D118" s="154">
        <v>1000</v>
      </c>
      <c r="E118" s="154"/>
      <c r="F118" s="154"/>
      <c r="G118" s="154"/>
      <c r="H118" s="155"/>
    </row>
    <row r="119" spans="1:8" s="11" customFormat="1" ht="15.75">
      <c r="A119" s="114" t="s">
        <v>112</v>
      </c>
      <c r="B119" s="115" t="s">
        <v>194</v>
      </c>
      <c r="C119" s="150">
        <f>SUM(D119+E119+F119+G119+H119)</f>
        <v>464026</v>
      </c>
      <c r="D119" s="150">
        <f>SUM(D120:D121)</f>
        <v>430326</v>
      </c>
      <c r="E119" s="150">
        <f>SUM(E120:E121)</f>
        <v>0</v>
      </c>
      <c r="F119" s="150">
        <f>SUM(F120:F121)</f>
        <v>32150</v>
      </c>
      <c r="G119" s="150">
        <f>SUM(G120:G121)</f>
        <v>0</v>
      </c>
      <c r="H119" s="151">
        <f>SUM(H120:H121)</f>
        <v>1550</v>
      </c>
    </row>
    <row r="120" spans="1:8" ht="15.75">
      <c r="A120" s="103" t="s">
        <v>193</v>
      </c>
      <c r="B120" s="111" t="s">
        <v>630</v>
      </c>
      <c r="C120" s="154">
        <f>SUM(D120+E120+F120+G120+H120)</f>
        <v>430326</v>
      </c>
      <c r="D120" s="154">
        <v>430326</v>
      </c>
      <c r="E120" s="154"/>
      <c r="F120" s="154"/>
      <c r="G120" s="154"/>
      <c r="H120" s="155"/>
    </row>
    <row r="121" spans="1:8" ht="30">
      <c r="A121" s="102" t="s">
        <v>435</v>
      </c>
      <c r="B121" s="110" t="s">
        <v>631</v>
      </c>
      <c r="C121" s="154">
        <f>SUM(D121+E121+F121+G121+H121)</f>
        <v>33700</v>
      </c>
      <c r="D121" s="154"/>
      <c r="E121" s="154"/>
      <c r="F121" s="154">
        <v>32150</v>
      </c>
      <c r="G121" s="154"/>
      <c r="H121" s="155">
        <v>1550</v>
      </c>
    </row>
    <row r="122" spans="1:8" s="106" customFormat="1" ht="15.75">
      <c r="A122" s="215" t="s">
        <v>39</v>
      </c>
      <c r="B122" s="216" t="s">
        <v>17</v>
      </c>
      <c r="C122" s="217">
        <f t="shared" si="4"/>
        <v>3437504</v>
      </c>
      <c r="D122" s="217">
        <f>SUM(D123+D128+D131+D137+D138+D139+D147)</f>
        <v>3238752</v>
      </c>
      <c r="E122" s="217">
        <f>SUM(E123+E128+E131+E137+E138+E139+E147)</f>
        <v>22800</v>
      </c>
      <c r="F122" s="217">
        <f>SUM(F123+F128+F131+F137+F138+F139+F147)</f>
        <v>118211</v>
      </c>
      <c r="G122" s="217">
        <f>SUM(G123+G128+G131+G137+G138+G139+G147)</f>
        <v>0</v>
      </c>
      <c r="H122" s="218">
        <f>SUM(H123+H128+H131+H137+H138+H139+H147)</f>
        <v>57741</v>
      </c>
    </row>
    <row r="123" spans="1:8" ht="15.75">
      <c r="A123" s="113" t="s">
        <v>97</v>
      </c>
      <c r="B123" s="109" t="s">
        <v>98</v>
      </c>
      <c r="C123" s="150">
        <f>SUM(D123+E123+F123+G123+H123)</f>
        <v>271293</v>
      </c>
      <c r="D123" s="150">
        <f>SUM(D124+D125+D126+D127)</f>
        <v>193917</v>
      </c>
      <c r="E123" s="150">
        <f>SUM(E124+E125+E126+E127)</f>
        <v>5000</v>
      </c>
      <c r="F123" s="150">
        <f>SUM(F124+F125+F126+F127)</f>
        <v>71643</v>
      </c>
      <c r="G123" s="150">
        <f>SUM(G124+G125+G126+G127)</f>
        <v>0</v>
      </c>
      <c r="H123" s="151">
        <f>SUM(H124+H125+H126+H127)</f>
        <v>733</v>
      </c>
    </row>
    <row r="124" spans="1:8" s="11" customFormat="1" ht="30">
      <c r="A124" s="102" t="s">
        <v>119</v>
      </c>
      <c r="B124" s="110" t="s">
        <v>123</v>
      </c>
      <c r="C124" s="154">
        <f t="shared" si="4"/>
        <v>103744</v>
      </c>
      <c r="D124" s="154">
        <v>52015</v>
      </c>
      <c r="E124" s="154"/>
      <c r="F124" s="154">
        <v>51729</v>
      </c>
      <c r="G124" s="154"/>
      <c r="H124" s="155"/>
    </row>
    <row r="125" spans="1:8" s="11" customFormat="1" ht="15.75">
      <c r="A125" s="102" t="s">
        <v>120</v>
      </c>
      <c r="B125" s="110" t="s">
        <v>124</v>
      </c>
      <c r="C125" s="154">
        <f t="shared" si="4"/>
        <v>53771</v>
      </c>
      <c r="D125" s="154">
        <v>52538</v>
      </c>
      <c r="E125" s="154">
        <v>900</v>
      </c>
      <c r="F125" s="154"/>
      <c r="G125" s="154"/>
      <c r="H125" s="155">
        <v>333</v>
      </c>
    </row>
    <row r="126" spans="1:8" s="11" customFormat="1" ht="15.75">
      <c r="A126" s="102" t="s">
        <v>121</v>
      </c>
      <c r="B126" s="110" t="s">
        <v>125</v>
      </c>
      <c r="C126" s="154">
        <f t="shared" si="4"/>
        <v>50213</v>
      </c>
      <c r="D126" s="154">
        <v>49035</v>
      </c>
      <c r="E126" s="154">
        <v>1100</v>
      </c>
      <c r="F126" s="154"/>
      <c r="G126" s="154"/>
      <c r="H126" s="155">
        <v>78</v>
      </c>
    </row>
    <row r="127" spans="1:8" s="11" customFormat="1" ht="15.75">
      <c r="A127" s="102" t="s">
        <v>122</v>
      </c>
      <c r="B127" s="110" t="s">
        <v>126</v>
      </c>
      <c r="C127" s="154">
        <f t="shared" si="4"/>
        <v>63565</v>
      </c>
      <c r="D127" s="154">
        <v>40329</v>
      </c>
      <c r="E127" s="154">
        <v>3000</v>
      </c>
      <c r="F127" s="154">
        <v>19914</v>
      </c>
      <c r="G127" s="154"/>
      <c r="H127" s="155">
        <f>170+152</f>
        <v>322</v>
      </c>
    </row>
    <row r="128" spans="1:8" ht="15.75">
      <c r="A128" s="113" t="s">
        <v>127</v>
      </c>
      <c r="B128" s="109" t="s">
        <v>128</v>
      </c>
      <c r="C128" s="150">
        <f t="shared" si="4"/>
        <v>188728</v>
      </c>
      <c r="D128" s="150">
        <f>SUM(D129+D130)</f>
        <v>181331</v>
      </c>
      <c r="E128" s="150">
        <f>SUM(E129+E130)</f>
        <v>6500</v>
      </c>
      <c r="F128" s="150">
        <f>SUM(F129+F130)</f>
        <v>0</v>
      </c>
      <c r="G128" s="150">
        <f>SUM(G129+G130)</f>
        <v>0</v>
      </c>
      <c r="H128" s="151">
        <f>SUM(H129+H130)</f>
        <v>897</v>
      </c>
    </row>
    <row r="129" spans="1:8" s="11" customFormat="1" ht="15.75">
      <c r="A129" s="102" t="s">
        <v>129</v>
      </c>
      <c r="B129" s="110" t="s">
        <v>131</v>
      </c>
      <c r="C129" s="154">
        <f t="shared" si="4"/>
        <v>146425</v>
      </c>
      <c r="D129" s="154">
        <v>139028</v>
      </c>
      <c r="E129" s="154">
        <v>6500</v>
      </c>
      <c r="F129" s="154"/>
      <c r="G129" s="154"/>
      <c r="H129" s="155">
        <v>897</v>
      </c>
    </row>
    <row r="130" spans="1:8" s="11" customFormat="1" ht="15.75">
      <c r="A130" s="102" t="s">
        <v>130</v>
      </c>
      <c r="B130" s="110" t="s">
        <v>496</v>
      </c>
      <c r="C130" s="154">
        <f t="shared" si="4"/>
        <v>42303</v>
      </c>
      <c r="D130" s="154">
        <v>42303</v>
      </c>
      <c r="E130" s="154"/>
      <c r="F130" s="154"/>
      <c r="G130" s="154"/>
      <c r="H130" s="155"/>
    </row>
    <row r="131" spans="1:8" ht="15.75">
      <c r="A131" s="113" t="s">
        <v>99</v>
      </c>
      <c r="B131" s="109" t="s">
        <v>489</v>
      </c>
      <c r="C131" s="150">
        <f t="shared" si="4"/>
        <v>728441</v>
      </c>
      <c r="D131" s="150">
        <f>SUM(D132:D136)</f>
        <v>655584</v>
      </c>
      <c r="E131" s="150">
        <f>SUM(E132:E136)</f>
        <v>4300</v>
      </c>
      <c r="F131" s="150">
        <f>SUM(F132:F136)</f>
        <v>31000</v>
      </c>
      <c r="G131" s="150">
        <f>SUM(G132:G136)</f>
        <v>0</v>
      </c>
      <c r="H131" s="151">
        <f>SUM(H132:H136)</f>
        <v>37557</v>
      </c>
    </row>
    <row r="132" spans="1:8" s="11" customFormat="1" ht="15.75">
      <c r="A132" s="102" t="s">
        <v>132</v>
      </c>
      <c r="B132" s="110" t="s">
        <v>176</v>
      </c>
      <c r="C132" s="154">
        <f t="shared" si="4"/>
        <v>65411</v>
      </c>
      <c r="D132" s="154">
        <v>65104</v>
      </c>
      <c r="E132" s="154">
        <v>200</v>
      </c>
      <c r="F132" s="154"/>
      <c r="G132" s="154"/>
      <c r="H132" s="155">
        <v>107</v>
      </c>
    </row>
    <row r="133" spans="1:8" s="11" customFormat="1" ht="30">
      <c r="A133" s="103" t="s">
        <v>184</v>
      </c>
      <c r="B133" s="111" t="s">
        <v>231</v>
      </c>
      <c r="C133" s="70">
        <f t="shared" si="4"/>
        <v>507961</v>
      </c>
      <c r="D133" s="157">
        <v>474819</v>
      </c>
      <c r="E133" s="157">
        <v>4100</v>
      </c>
      <c r="F133" s="157"/>
      <c r="G133" s="157"/>
      <c r="H133" s="158">
        <v>29042</v>
      </c>
    </row>
    <row r="134" spans="1:8" s="11" customFormat="1" ht="15.75">
      <c r="A134" s="102" t="s">
        <v>133</v>
      </c>
      <c r="B134" s="110" t="s">
        <v>632</v>
      </c>
      <c r="C134" s="154">
        <f t="shared" si="4"/>
        <v>99370</v>
      </c>
      <c r="D134" s="154">
        <v>98961</v>
      </c>
      <c r="E134" s="154"/>
      <c r="F134" s="154"/>
      <c r="G134" s="154"/>
      <c r="H134" s="155">
        <v>409</v>
      </c>
    </row>
    <row r="135" spans="1:8" s="11" customFormat="1" ht="60">
      <c r="A135" s="102" t="s">
        <v>478</v>
      </c>
      <c r="B135" s="110" t="s">
        <v>479</v>
      </c>
      <c r="C135" s="154">
        <f t="shared" si="4"/>
        <v>47788</v>
      </c>
      <c r="D135" s="154">
        <v>8800</v>
      </c>
      <c r="E135" s="154"/>
      <c r="F135" s="154">
        <v>31000</v>
      </c>
      <c r="G135" s="154"/>
      <c r="H135" s="155">
        <v>7988</v>
      </c>
    </row>
    <row r="136" spans="1:8" s="11" customFormat="1" ht="60">
      <c r="A136" s="102" t="s">
        <v>483</v>
      </c>
      <c r="B136" s="110" t="s">
        <v>495</v>
      </c>
      <c r="C136" s="154">
        <f t="shared" si="4"/>
        <v>7911</v>
      </c>
      <c r="D136" s="154">
        <v>7900</v>
      </c>
      <c r="E136" s="154"/>
      <c r="F136" s="154"/>
      <c r="G136" s="154"/>
      <c r="H136" s="155">
        <v>11</v>
      </c>
    </row>
    <row r="137" spans="1:8" s="11" customFormat="1" ht="15.75">
      <c r="A137" s="113" t="s">
        <v>431</v>
      </c>
      <c r="B137" s="109" t="s">
        <v>490</v>
      </c>
      <c r="C137" s="152">
        <f t="shared" si="4"/>
        <v>92885</v>
      </c>
      <c r="D137" s="152">
        <v>77812</v>
      </c>
      <c r="E137" s="152"/>
      <c r="F137" s="152"/>
      <c r="G137" s="152"/>
      <c r="H137" s="159">
        <v>15073</v>
      </c>
    </row>
    <row r="138" spans="1:8" ht="30">
      <c r="A138" s="113" t="s">
        <v>100</v>
      </c>
      <c r="B138" s="109" t="s">
        <v>492</v>
      </c>
      <c r="C138" s="152">
        <f t="shared" si="4"/>
        <v>570000</v>
      </c>
      <c r="D138" s="152">
        <v>570000</v>
      </c>
      <c r="E138" s="152"/>
      <c r="F138" s="152"/>
      <c r="G138" s="152"/>
      <c r="H138" s="159"/>
    </row>
    <row r="139" spans="1:8" ht="28.5">
      <c r="A139" s="113" t="s">
        <v>101</v>
      </c>
      <c r="B139" s="109" t="s">
        <v>491</v>
      </c>
      <c r="C139" s="150">
        <f t="shared" si="4"/>
        <v>968998</v>
      </c>
      <c r="D139" s="150">
        <f>SUM(D140:D146)</f>
        <v>946216</v>
      </c>
      <c r="E139" s="150">
        <f>SUM(E140:E146)</f>
        <v>6200</v>
      </c>
      <c r="F139" s="150">
        <f>SUM(F140:F146)</f>
        <v>15568</v>
      </c>
      <c r="G139" s="150">
        <f>SUM(G140:G146)</f>
        <v>0</v>
      </c>
      <c r="H139" s="151">
        <f>SUM(H140:H146)</f>
        <v>1014</v>
      </c>
    </row>
    <row r="140" spans="1:8" s="11" customFormat="1" ht="15.75">
      <c r="A140" s="102" t="s">
        <v>134</v>
      </c>
      <c r="B140" s="110" t="s">
        <v>140</v>
      </c>
      <c r="C140" s="154">
        <f t="shared" si="4"/>
        <v>18651</v>
      </c>
      <c r="D140" s="154">
        <v>18651</v>
      </c>
      <c r="E140" s="154"/>
      <c r="F140" s="154"/>
      <c r="G140" s="154"/>
      <c r="H140" s="155"/>
    </row>
    <row r="141" spans="1:8" s="11" customFormat="1" ht="15.75">
      <c r="A141" s="102" t="s">
        <v>135</v>
      </c>
      <c r="B141" s="110" t="s">
        <v>141</v>
      </c>
      <c r="C141" s="154">
        <f t="shared" si="4"/>
        <v>22525</v>
      </c>
      <c r="D141" s="154">
        <v>22525</v>
      </c>
      <c r="E141" s="154"/>
      <c r="F141" s="154"/>
      <c r="G141" s="154"/>
      <c r="H141" s="155"/>
    </row>
    <row r="142" spans="1:8" s="11" customFormat="1" ht="30">
      <c r="A142" s="102" t="s">
        <v>136</v>
      </c>
      <c r="B142" s="110" t="s">
        <v>143</v>
      </c>
      <c r="C142" s="154">
        <f t="shared" si="4"/>
        <v>258413</v>
      </c>
      <c r="D142" s="154">
        <v>248845</v>
      </c>
      <c r="E142" s="154"/>
      <c r="F142" s="154">
        <v>9568</v>
      </c>
      <c r="G142" s="154"/>
      <c r="H142" s="155"/>
    </row>
    <row r="143" spans="1:8" s="11" customFormat="1" ht="15.75">
      <c r="A143" s="102" t="s">
        <v>137</v>
      </c>
      <c r="B143" s="110" t="s">
        <v>633</v>
      </c>
      <c r="C143" s="154">
        <f t="shared" si="4"/>
        <v>82743</v>
      </c>
      <c r="D143" s="154">
        <v>80466</v>
      </c>
      <c r="E143" s="154">
        <v>1500</v>
      </c>
      <c r="F143" s="154"/>
      <c r="G143" s="154"/>
      <c r="H143" s="155">
        <v>777</v>
      </c>
    </row>
    <row r="144" spans="1:8" s="11" customFormat="1" ht="15.75">
      <c r="A144" s="103" t="s">
        <v>138</v>
      </c>
      <c r="B144" s="111" t="s">
        <v>634</v>
      </c>
      <c r="C144" s="157">
        <f t="shared" si="4"/>
        <v>517791</v>
      </c>
      <c r="D144" s="157">
        <v>508587</v>
      </c>
      <c r="E144" s="157">
        <v>3000</v>
      </c>
      <c r="F144" s="157">
        <v>6000</v>
      </c>
      <c r="G144" s="157"/>
      <c r="H144" s="158">
        <v>204</v>
      </c>
    </row>
    <row r="145" spans="1:8" s="11" customFormat="1" ht="15.75">
      <c r="A145" s="102" t="s">
        <v>139</v>
      </c>
      <c r="B145" s="110" t="s">
        <v>142</v>
      </c>
      <c r="C145" s="154">
        <f t="shared" si="4"/>
        <v>11098</v>
      </c>
      <c r="D145" s="154">
        <v>9365</v>
      </c>
      <c r="E145" s="154">
        <v>1700</v>
      </c>
      <c r="F145" s="154"/>
      <c r="G145" s="154"/>
      <c r="H145" s="155">
        <v>33</v>
      </c>
    </row>
    <row r="146" spans="1:8" s="11" customFormat="1" ht="30">
      <c r="A146" s="102" t="s">
        <v>575</v>
      </c>
      <c r="B146" s="110" t="s">
        <v>635</v>
      </c>
      <c r="C146" s="154">
        <f t="shared" si="4"/>
        <v>57777</v>
      </c>
      <c r="D146" s="154">
        <v>57777</v>
      </c>
      <c r="E146" s="154"/>
      <c r="F146" s="154"/>
      <c r="G146" s="154"/>
      <c r="H146" s="155"/>
    </row>
    <row r="147" spans="1:8" ht="15.75">
      <c r="A147" s="113" t="s">
        <v>636</v>
      </c>
      <c r="B147" s="109" t="s">
        <v>637</v>
      </c>
      <c r="C147" s="152">
        <f>D147+E147+F147+G147+H147</f>
        <v>617159</v>
      </c>
      <c r="D147" s="152">
        <f>SUM(D148:D150)</f>
        <v>613892</v>
      </c>
      <c r="E147" s="152">
        <f>SUM(E148:E150)</f>
        <v>800</v>
      </c>
      <c r="F147" s="152">
        <f>SUM(F148:F150)</f>
        <v>0</v>
      </c>
      <c r="G147" s="152">
        <f>SUM(G148:G150)</f>
        <v>0</v>
      </c>
      <c r="H147" s="159">
        <f>SUM(H148:H150)</f>
        <v>2467</v>
      </c>
    </row>
    <row r="148" spans="1:8" ht="15.75">
      <c r="A148" s="102" t="s">
        <v>102</v>
      </c>
      <c r="B148" s="110" t="s">
        <v>638</v>
      </c>
      <c r="C148" s="154">
        <f t="shared" si="4"/>
        <v>523859</v>
      </c>
      <c r="D148" s="154">
        <f>523059-2467</f>
        <v>520592</v>
      </c>
      <c r="E148" s="154">
        <v>800</v>
      </c>
      <c r="F148" s="154"/>
      <c r="G148" s="154"/>
      <c r="H148" s="155">
        <v>2467</v>
      </c>
    </row>
    <row r="149" spans="1:8" ht="30">
      <c r="A149" s="102" t="s">
        <v>640</v>
      </c>
      <c r="B149" s="110" t="s">
        <v>639</v>
      </c>
      <c r="C149" s="154">
        <f t="shared" si="4"/>
        <v>9300</v>
      </c>
      <c r="D149" s="154">
        <v>9300</v>
      </c>
      <c r="E149" s="154"/>
      <c r="F149" s="154"/>
      <c r="G149" s="154"/>
      <c r="H149" s="155"/>
    </row>
    <row r="150" spans="1:8" ht="30.75" thickBot="1">
      <c r="A150" s="304" t="s">
        <v>577</v>
      </c>
      <c r="B150" s="326" t="s">
        <v>641</v>
      </c>
      <c r="C150" s="165">
        <f t="shared" si="4"/>
        <v>84000</v>
      </c>
      <c r="D150" s="165">
        <v>84000</v>
      </c>
      <c r="E150" s="165"/>
      <c r="F150" s="165"/>
      <c r="G150" s="165"/>
      <c r="H150" s="303"/>
    </row>
    <row r="151" spans="1:11" s="106" customFormat="1" ht="16.5" thickBot="1">
      <c r="A151" s="219"/>
      <c r="B151" s="223" t="s">
        <v>56</v>
      </c>
      <c r="C151" s="220">
        <f t="shared" si="4"/>
        <v>3795493</v>
      </c>
      <c r="D151" s="220">
        <f>SUM(D152+D153)</f>
        <v>264675</v>
      </c>
      <c r="E151" s="220">
        <f>SUM(E152+E153)</f>
        <v>0</v>
      </c>
      <c r="F151" s="220">
        <f>SUM(F152+F153)</f>
        <v>3420000</v>
      </c>
      <c r="G151" s="220">
        <f>SUM(G152+G153)</f>
        <v>0</v>
      </c>
      <c r="H151" s="221">
        <f>SUM(H152+H153)</f>
        <v>110818</v>
      </c>
      <c r="J151" s="301"/>
      <c r="K151" s="301"/>
    </row>
    <row r="152" spans="1:11" ht="15.75">
      <c r="A152" s="126" t="s">
        <v>208</v>
      </c>
      <c r="B152" s="320" t="s">
        <v>209</v>
      </c>
      <c r="C152" s="172">
        <f t="shared" si="4"/>
        <v>3530818</v>
      </c>
      <c r="D152" s="172">
        <v>0</v>
      </c>
      <c r="E152" s="173"/>
      <c r="F152" s="173">
        <v>3420000</v>
      </c>
      <c r="G152" s="173"/>
      <c r="H152" s="327">
        <v>110818</v>
      </c>
      <c r="J152" s="302"/>
      <c r="K152" s="85"/>
    </row>
    <row r="153" spans="1:11" s="106" customFormat="1" ht="28.5">
      <c r="A153" s="127" t="s">
        <v>106</v>
      </c>
      <c r="B153" s="109" t="s">
        <v>212</v>
      </c>
      <c r="C153" s="150">
        <f t="shared" si="4"/>
        <v>264675</v>
      </c>
      <c r="D153" s="150">
        <f>D156+D154+D155</f>
        <v>264675</v>
      </c>
      <c r="E153" s="150">
        <f>E156+E154+E155</f>
        <v>0</v>
      </c>
      <c r="F153" s="150">
        <f>F156+F154+F155</f>
        <v>0</v>
      </c>
      <c r="G153" s="150">
        <f>G156+G154+G155</f>
        <v>0</v>
      </c>
      <c r="H153" s="151">
        <f>H156+H154+H155</f>
        <v>0</v>
      </c>
      <c r="J153" s="301"/>
      <c r="K153" s="301"/>
    </row>
    <row r="154" spans="1:11" s="106" customFormat="1" ht="30">
      <c r="A154" s="127"/>
      <c r="B154" s="112" t="s">
        <v>647</v>
      </c>
      <c r="C154" s="60">
        <f t="shared" si="4"/>
        <v>20000</v>
      </c>
      <c r="D154" s="154">
        <v>20000</v>
      </c>
      <c r="E154" s="150"/>
      <c r="F154" s="150"/>
      <c r="G154" s="150"/>
      <c r="H154" s="161"/>
      <c r="J154" s="301"/>
      <c r="K154" s="301"/>
    </row>
    <row r="155" spans="1:8" s="106" customFormat="1" ht="15.75">
      <c r="A155" s="127"/>
      <c r="B155" s="112" t="s">
        <v>648</v>
      </c>
      <c r="C155" s="60">
        <f t="shared" si="4"/>
        <v>10400</v>
      </c>
      <c r="D155" s="154">
        <v>10400</v>
      </c>
      <c r="E155" s="150"/>
      <c r="F155" s="150"/>
      <c r="G155" s="150"/>
      <c r="H155" s="151"/>
    </row>
    <row r="156" spans="1:8" ht="30.75" thickBot="1">
      <c r="A156" s="171"/>
      <c r="B156" s="148" t="s">
        <v>174</v>
      </c>
      <c r="C156" s="163">
        <f t="shared" si="4"/>
        <v>234275</v>
      </c>
      <c r="D156" s="165">
        <v>234275</v>
      </c>
      <c r="E156" s="163"/>
      <c r="F156" s="163"/>
      <c r="G156" s="163"/>
      <c r="H156" s="164"/>
    </row>
    <row r="157" spans="1:10" ht="16.5" thickBot="1">
      <c r="A157" s="222"/>
      <c r="B157" s="223" t="s">
        <v>79</v>
      </c>
      <c r="C157" s="220">
        <f aca="true" t="shared" si="6" ref="C157:H157">SUM(C151+C9)</f>
        <v>45577160</v>
      </c>
      <c r="D157" s="220">
        <f t="shared" si="6"/>
        <v>32647153</v>
      </c>
      <c r="E157" s="220">
        <f t="shared" si="6"/>
        <v>873231</v>
      </c>
      <c r="F157" s="220">
        <f t="shared" si="6"/>
        <v>8202265</v>
      </c>
      <c r="G157" s="220">
        <f t="shared" si="6"/>
        <v>596512</v>
      </c>
      <c r="H157" s="221">
        <f t="shared" si="6"/>
        <v>3257999</v>
      </c>
      <c r="I157" s="135"/>
      <c r="J157" s="116"/>
    </row>
    <row r="158" spans="1:9" s="131" customFormat="1" ht="15.75">
      <c r="A158" s="128"/>
      <c r="B158" s="129"/>
      <c r="C158" s="166"/>
      <c r="D158" s="167"/>
      <c r="E158" s="167"/>
      <c r="F158" s="128"/>
      <c r="G158" s="128"/>
      <c r="H158" s="166"/>
      <c r="I158" s="130"/>
    </row>
    <row r="159" spans="3:8" ht="15.75">
      <c r="C159" s="168"/>
      <c r="D159" s="169"/>
      <c r="E159" s="88"/>
      <c r="F159" s="88"/>
      <c r="G159" s="88"/>
      <c r="H159" s="88"/>
    </row>
    <row r="160" spans="1:8" s="131" customFormat="1" ht="18.75">
      <c r="A160" s="10" t="s">
        <v>654</v>
      </c>
      <c r="B160" s="333"/>
      <c r="C160" s="334"/>
      <c r="D160" s="330"/>
      <c r="E160" s="10"/>
      <c r="F160" s="10"/>
      <c r="G160" s="10"/>
      <c r="H160" s="331" t="s">
        <v>655</v>
      </c>
    </row>
    <row r="161" spans="3:8" ht="15.75">
      <c r="C161" s="168"/>
      <c r="D161" s="170"/>
      <c r="E161" s="88"/>
      <c r="F161" s="88"/>
      <c r="G161" s="88"/>
      <c r="H161" s="88"/>
    </row>
    <row r="162" spans="3:8" ht="15.75">
      <c r="C162" s="88"/>
      <c r="D162" s="170"/>
      <c r="E162" s="88"/>
      <c r="F162" s="88"/>
      <c r="G162" s="88"/>
      <c r="H162" s="88"/>
    </row>
    <row r="163" spans="3:8" ht="15.75">
      <c r="C163" s="88"/>
      <c r="D163" s="170"/>
      <c r="E163" s="168"/>
      <c r="F163" s="88"/>
      <c r="G163" s="88"/>
      <c r="H163" s="88"/>
    </row>
    <row r="164" ht="15.75">
      <c r="C164" s="116"/>
    </row>
  </sheetData>
  <sheetProtection/>
  <mergeCells count="6">
    <mergeCell ref="A4:H4"/>
    <mergeCell ref="A5:H5"/>
    <mergeCell ref="D7:H7"/>
    <mergeCell ref="A7:A8"/>
    <mergeCell ref="B7:B8"/>
    <mergeCell ref="C7:C8"/>
  </mergeCells>
  <printOptions/>
  <pageMargins left="0.7480314960629921" right="0.7480314960629921" top="1.1811023622047245" bottom="0.3937007874015748" header="0.7086614173228347" footer="0.1968503937007874"/>
  <pageSetup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13.28125" style="3" customWidth="1"/>
    <col min="2" max="2" width="48.00390625" style="3" customWidth="1"/>
    <col min="3" max="3" width="17.140625" style="3" customWidth="1"/>
    <col min="4" max="4" width="17.421875" style="3" customWidth="1"/>
    <col min="5" max="5" width="17.28125" style="3" customWidth="1"/>
    <col min="6" max="6" width="18.8515625" style="3" customWidth="1"/>
    <col min="7" max="7" width="12.00390625" style="3" customWidth="1"/>
    <col min="8" max="8" width="10.57421875" style="3" bestFit="1" customWidth="1"/>
    <col min="9" max="16384" width="9.140625" style="3" customWidth="1"/>
  </cols>
  <sheetData>
    <row r="1" spans="1:6" ht="15.75">
      <c r="A1" s="1"/>
      <c r="E1" s="2"/>
      <c r="F1" s="17" t="s">
        <v>160</v>
      </c>
    </row>
    <row r="2" spans="4:6" ht="15">
      <c r="D2" s="2"/>
      <c r="E2" s="2"/>
      <c r="F2" s="17" t="s">
        <v>656</v>
      </c>
    </row>
    <row r="3" spans="5:6" ht="15">
      <c r="E3" s="2"/>
      <c r="F3" s="48" t="s">
        <v>657</v>
      </c>
    </row>
    <row r="4" ht="45" customHeight="1"/>
    <row r="5" spans="1:6" ht="20.25">
      <c r="A5" s="336" t="s">
        <v>505</v>
      </c>
      <c r="B5" s="336"/>
      <c r="C5" s="336"/>
      <c r="D5" s="336"/>
      <c r="E5" s="336"/>
      <c r="F5" s="336"/>
    </row>
    <row r="6" spans="1:6" ht="12.75">
      <c r="A6" s="12"/>
      <c r="B6" s="12"/>
      <c r="C6" s="12"/>
      <c r="D6" s="12"/>
      <c r="E6" s="12"/>
      <c r="F6" s="12"/>
    </row>
    <row r="7" spans="1:6" ht="13.5" thickBot="1">
      <c r="A7" s="12"/>
      <c r="B7" s="24"/>
      <c r="C7" s="25"/>
      <c r="D7" s="25"/>
      <c r="E7" s="25"/>
      <c r="F7" s="26" t="s">
        <v>22</v>
      </c>
    </row>
    <row r="8" spans="1:6" ht="48.75" thickBot="1">
      <c r="A8" s="233" t="s">
        <v>86</v>
      </c>
      <c r="B8" s="189" t="s">
        <v>162</v>
      </c>
      <c r="C8" s="224" t="s">
        <v>506</v>
      </c>
      <c r="D8" s="224" t="s">
        <v>507</v>
      </c>
      <c r="E8" s="224" t="s">
        <v>508</v>
      </c>
      <c r="F8" s="225" t="s">
        <v>509</v>
      </c>
    </row>
    <row r="9" spans="1:8" s="10" customFormat="1" ht="19.5" thickBot="1">
      <c r="A9" s="43" t="s">
        <v>163</v>
      </c>
      <c r="B9" s="47" t="s">
        <v>232</v>
      </c>
      <c r="C9" s="234">
        <f>SUM(C10)</f>
        <v>50000</v>
      </c>
      <c r="D9" s="234">
        <f>SUM(D10)</f>
        <v>16605</v>
      </c>
      <c r="E9" s="234">
        <f>SUM(E10)</f>
        <v>66605</v>
      </c>
      <c r="F9" s="235">
        <f>SUM(F10)</f>
        <v>66605</v>
      </c>
      <c r="H9" s="187"/>
    </row>
    <row r="10" spans="1:8" ht="33.75" thickBot="1" thickTop="1">
      <c r="A10" s="45" t="s">
        <v>510</v>
      </c>
      <c r="B10" s="230" t="s">
        <v>164</v>
      </c>
      <c r="C10" s="236">
        <v>50000</v>
      </c>
      <c r="D10" s="236">
        <v>16605</v>
      </c>
      <c r="E10" s="236">
        <f>SUM(C10:D10)</f>
        <v>66605</v>
      </c>
      <c r="F10" s="237">
        <f>SUM(E10)</f>
        <v>66605</v>
      </c>
      <c r="H10" s="187"/>
    </row>
    <row r="11" spans="1:8" s="10" customFormat="1" ht="19.5" thickBot="1">
      <c r="A11" s="43" t="s">
        <v>165</v>
      </c>
      <c r="B11" s="44" t="s">
        <v>211</v>
      </c>
      <c r="C11" s="234">
        <f>C13+C14</f>
        <v>706661</v>
      </c>
      <c r="D11" s="234">
        <f>D13+D14</f>
        <v>2180</v>
      </c>
      <c r="E11" s="234">
        <f>E13+E14</f>
        <v>708841</v>
      </c>
      <c r="F11" s="235">
        <f>F13+F14</f>
        <v>708841</v>
      </c>
      <c r="H11" s="187"/>
    </row>
    <row r="12" spans="1:8" ht="33" thickTop="1">
      <c r="A12" s="42" t="s">
        <v>404</v>
      </c>
      <c r="B12" s="232" t="s">
        <v>210</v>
      </c>
      <c r="C12" s="238">
        <f>SUM(C13+C14)</f>
        <v>706661</v>
      </c>
      <c r="D12" s="238">
        <f>SUM(D13+D14)</f>
        <v>2180</v>
      </c>
      <c r="E12" s="238">
        <f>SUM(E13+E14)</f>
        <v>708841</v>
      </c>
      <c r="F12" s="239">
        <f>SUM(F13+F14)</f>
        <v>708841</v>
      </c>
      <c r="H12" s="187"/>
    </row>
    <row r="13" spans="1:8" ht="18.75">
      <c r="A13" s="4"/>
      <c r="B13" s="231" t="s">
        <v>103</v>
      </c>
      <c r="C13" s="240">
        <v>467284</v>
      </c>
      <c r="D13" s="241">
        <v>2180</v>
      </c>
      <c r="E13" s="241">
        <f>C13+D13</f>
        <v>469464</v>
      </c>
      <c r="F13" s="242">
        <f>E13</f>
        <v>469464</v>
      </c>
      <c r="H13" s="187"/>
    </row>
    <row r="14" spans="1:8" ht="32.25">
      <c r="A14" s="228"/>
      <c r="B14" s="56" t="s">
        <v>166</v>
      </c>
      <c r="C14" s="243">
        <v>239377</v>
      </c>
      <c r="D14" s="243">
        <v>0</v>
      </c>
      <c r="E14" s="244">
        <f>C14+D14</f>
        <v>239377</v>
      </c>
      <c r="F14" s="245">
        <f>E14</f>
        <v>239377</v>
      </c>
      <c r="H14" s="187"/>
    </row>
    <row r="15" spans="1:8" s="6" customFormat="1" ht="41.25" thickBot="1">
      <c r="A15" s="226"/>
      <c r="B15" s="227" t="s">
        <v>196</v>
      </c>
      <c r="C15" s="246">
        <f>C9+C11</f>
        <v>756661</v>
      </c>
      <c r="D15" s="246">
        <f>D9+D11</f>
        <v>18785</v>
      </c>
      <c r="E15" s="246">
        <f>E9+E11</f>
        <v>775446</v>
      </c>
      <c r="F15" s="246">
        <f>F9+F11</f>
        <v>775446</v>
      </c>
      <c r="H15" s="187"/>
    </row>
    <row r="16" spans="1:6" ht="15.75">
      <c r="A16" s="1"/>
      <c r="B16" s="1"/>
      <c r="C16" s="1"/>
      <c r="D16" s="1"/>
      <c r="E16" s="1"/>
      <c r="F16" s="1"/>
    </row>
    <row r="17" spans="1:6" s="6" customFormat="1" ht="20.25">
      <c r="A17" s="10" t="s">
        <v>654</v>
      </c>
      <c r="B17" s="10"/>
      <c r="C17" s="10"/>
      <c r="D17" s="10"/>
      <c r="E17" s="10"/>
      <c r="F17" s="331" t="s">
        <v>655</v>
      </c>
    </row>
  </sheetData>
  <sheetProtection/>
  <mergeCells count="1">
    <mergeCell ref="A5:F5"/>
  </mergeCells>
  <printOptions/>
  <pageMargins left="0.75" right="0.75" top="0.51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0"/>
  <sheetViews>
    <sheetView tabSelected="1" zoomScalePageLayoutView="0" workbookViewId="0" topLeftCell="A1">
      <pane xSplit="1" ySplit="6" topLeftCell="I1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73" sqref="S173"/>
    </sheetView>
  </sheetViews>
  <sheetFormatPr defaultColWidth="9.140625" defaultRowHeight="12.75"/>
  <cols>
    <col min="1" max="1" width="3.28125" style="0" customWidth="1"/>
    <col min="2" max="2" width="10.7109375" style="67" customWidth="1"/>
    <col min="3" max="3" width="24.00390625" style="251" customWidth="1"/>
    <col min="4" max="4" width="11.7109375" style="251" customWidth="1"/>
    <col min="5" max="5" width="10.8515625" style="0" customWidth="1"/>
    <col min="6" max="6" width="10.28125" style="0" customWidth="1"/>
    <col min="7" max="7" width="12.28125" style="0" customWidth="1"/>
    <col min="8" max="8" width="11.7109375" style="0" customWidth="1"/>
    <col min="9" max="9" width="12.7109375" style="0" customWidth="1"/>
    <col min="10" max="12" width="12.28125" style="0" customWidth="1"/>
    <col min="13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0" width="12.28125" style="0" customWidth="1"/>
    <col min="21" max="21" width="11.28125" style="0" customWidth="1"/>
    <col min="22" max="22" width="12.8515625" style="0" bestFit="1" customWidth="1"/>
  </cols>
  <sheetData>
    <row r="1" spans="1:22" ht="15.75">
      <c r="A1" s="64"/>
      <c r="B1" s="178"/>
      <c r="C1" s="247"/>
      <c r="D1" s="247"/>
      <c r="E1" s="66"/>
      <c r="F1" s="64"/>
      <c r="J1" s="64"/>
      <c r="K1" s="17" t="s">
        <v>649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64"/>
      <c r="B2" s="65"/>
      <c r="C2" s="247"/>
      <c r="D2" s="247"/>
      <c r="E2" s="66"/>
      <c r="F2" s="64"/>
      <c r="J2" s="64"/>
      <c r="K2" s="17" t="s">
        <v>656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>
      <c r="A3" s="64"/>
      <c r="B3" s="65"/>
      <c r="C3" s="247"/>
      <c r="D3" s="247"/>
      <c r="E3" s="66"/>
      <c r="F3" s="64"/>
      <c r="J3" s="64"/>
      <c r="K3" s="48" t="s">
        <v>657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.75">
      <c r="A4" s="360" t="s">
        <v>261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s="251" customFormat="1" ht="12.75">
      <c r="A5" s="377" t="s">
        <v>511</v>
      </c>
      <c r="B5" s="379" t="s">
        <v>262</v>
      </c>
      <c r="C5" s="381" t="s">
        <v>263</v>
      </c>
      <c r="D5" s="248" t="s">
        <v>264</v>
      </c>
      <c r="E5" s="248" t="s">
        <v>265</v>
      </c>
      <c r="F5" s="248" t="s">
        <v>266</v>
      </c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50" t="s">
        <v>267</v>
      </c>
    </row>
    <row r="6" spans="1:22" s="251" customFormat="1" ht="12.75">
      <c r="A6" s="378"/>
      <c r="B6" s="380"/>
      <c r="C6" s="382"/>
      <c r="D6" s="252" t="s">
        <v>268</v>
      </c>
      <c r="E6" s="252" t="s">
        <v>269</v>
      </c>
      <c r="F6" s="252" t="s">
        <v>22</v>
      </c>
      <c r="G6" s="252">
        <v>2013</v>
      </c>
      <c r="H6" s="252">
        <f aca="true" t="shared" si="0" ref="H6:T6">SUM(G6+1)</f>
        <v>2014</v>
      </c>
      <c r="I6" s="252">
        <f t="shared" si="0"/>
        <v>2015</v>
      </c>
      <c r="J6" s="252">
        <f t="shared" si="0"/>
        <v>2016</v>
      </c>
      <c r="K6" s="252">
        <f t="shared" si="0"/>
        <v>2017</v>
      </c>
      <c r="L6" s="252">
        <f t="shared" si="0"/>
        <v>2018</v>
      </c>
      <c r="M6" s="252">
        <f t="shared" si="0"/>
        <v>2019</v>
      </c>
      <c r="N6" s="252">
        <f t="shared" si="0"/>
        <v>2020</v>
      </c>
      <c r="O6" s="252">
        <f t="shared" si="0"/>
        <v>2021</v>
      </c>
      <c r="P6" s="252">
        <f t="shared" si="0"/>
        <v>2022</v>
      </c>
      <c r="Q6" s="252">
        <f t="shared" si="0"/>
        <v>2023</v>
      </c>
      <c r="R6" s="252">
        <f t="shared" si="0"/>
        <v>2024</v>
      </c>
      <c r="S6" s="252">
        <f t="shared" si="0"/>
        <v>2025</v>
      </c>
      <c r="T6" s="252">
        <f t="shared" si="0"/>
        <v>2026</v>
      </c>
      <c r="U6" s="252" t="s">
        <v>512</v>
      </c>
      <c r="V6" s="253" t="s">
        <v>270</v>
      </c>
    </row>
    <row r="7" spans="1:22" ht="12.75">
      <c r="A7" s="375">
        <v>1</v>
      </c>
      <c r="B7" s="254" t="s">
        <v>271</v>
      </c>
      <c r="C7" s="361" t="s">
        <v>513</v>
      </c>
      <c r="D7" s="363">
        <v>3825880.52</v>
      </c>
      <c r="E7" s="255" t="s">
        <v>272</v>
      </c>
      <c r="F7" s="254" t="s">
        <v>273</v>
      </c>
      <c r="G7" s="256">
        <v>332684</v>
      </c>
      <c r="H7" s="256">
        <v>332684</v>
      </c>
      <c r="I7" s="256">
        <v>332684</v>
      </c>
      <c r="J7" s="256">
        <v>435048</v>
      </c>
      <c r="K7" s="256">
        <v>435048</v>
      </c>
      <c r="L7" s="256">
        <v>435048</v>
      </c>
      <c r="M7" s="256">
        <v>435048</v>
      </c>
      <c r="N7" s="256">
        <v>435048</v>
      </c>
      <c r="O7" s="256">
        <v>435048</v>
      </c>
      <c r="P7" s="256">
        <v>217541</v>
      </c>
      <c r="Q7" s="257"/>
      <c r="R7" s="257"/>
      <c r="S7" s="257"/>
      <c r="T7" s="257"/>
      <c r="U7" s="258"/>
      <c r="V7" s="259">
        <f aca="true" t="shared" si="1" ref="V7:V38">SUM(G7:S7)</f>
        <v>3825881</v>
      </c>
    </row>
    <row r="8" spans="1:22" ht="12.75">
      <c r="A8" s="376"/>
      <c r="B8" s="260" t="s">
        <v>274</v>
      </c>
      <c r="C8" s="362"/>
      <c r="D8" s="364"/>
      <c r="E8" s="261" t="s">
        <v>275</v>
      </c>
      <c r="F8" s="262">
        <v>0.01944</v>
      </c>
      <c r="G8" s="263">
        <v>74797</v>
      </c>
      <c r="H8" s="263">
        <v>74910</v>
      </c>
      <c r="I8" s="263">
        <v>67829</v>
      </c>
      <c r="J8" s="263">
        <v>60102</v>
      </c>
      <c r="K8" s="263">
        <v>50343</v>
      </c>
      <c r="L8" s="263">
        <v>40754</v>
      </c>
      <c r="M8" s="263">
        <v>31165</v>
      </c>
      <c r="N8" s="263">
        <v>21641</v>
      </c>
      <c r="O8" s="263">
        <v>11987</v>
      </c>
      <c r="P8" s="264">
        <v>2856</v>
      </c>
      <c r="Q8" s="265"/>
      <c r="R8" s="265"/>
      <c r="S8" s="265"/>
      <c r="T8" s="265"/>
      <c r="U8" s="266"/>
      <c r="V8" s="267">
        <f t="shared" si="1"/>
        <v>436384</v>
      </c>
    </row>
    <row r="9" spans="1:22" ht="12.75">
      <c r="A9" s="375">
        <v>2</v>
      </c>
      <c r="B9" s="254" t="s">
        <v>276</v>
      </c>
      <c r="C9" s="373" t="s">
        <v>514</v>
      </c>
      <c r="D9" s="356">
        <v>587870</v>
      </c>
      <c r="E9" s="255" t="s">
        <v>277</v>
      </c>
      <c r="F9" s="254" t="s">
        <v>273</v>
      </c>
      <c r="G9" s="256"/>
      <c r="H9" s="256">
        <v>83980</v>
      </c>
      <c r="I9" s="256">
        <v>83990</v>
      </c>
      <c r="J9" s="256"/>
      <c r="K9" s="256"/>
      <c r="L9" s="256"/>
      <c r="M9" s="256"/>
      <c r="N9" s="256"/>
      <c r="O9" s="256"/>
      <c r="P9" s="256"/>
      <c r="Q9" s="257"/>
      <c r="R9" s="257"/>
      <c r="S9" s="257"/>
      <c r="T9" s="257"/>
      <c r="U9" s="258"/>
      <c r="V9" s="268">
        <f t="shared" si="1"/>
        <v>167970</v>
      </c>
    </row>
    <row r="10" spans="1:22" ht="12.75">
      <c r="A10" s="376"/>
      <c r="B10" s="260" t="s">
        <v>278</v>
      </c>
      <c r="C10" s="374"/>
      <c r="D10" s="357"/>
      <c r="E10" s="261" t="s">
        <v>279</v>
      </c>
      <c r="F10" s="262">
        <v>0.01981</v>
      </c>
      <c r="G10" s="264">
        <v>4801</v>
      </c>
      <c r="H10" s="264">
        <v>2942</v>
      </c>
      <c r="I10" s="264">
        <v>1096</v>
      </c>
      <c r="J10" s="269"/>
      <c r="K10" s="269"/>
      <c r="L10" s="269"/>
      <c r="M10" s="269"/>
      <c r="N10" s="269"/>
      <c r="O10" s="269"/>
      <c r="P10" s="269"/>
      <c r="Q10" s="270"/>
      <c r="R10" s="270"/>
      <c r="S10" s="270"/>
      <c r="T10" s="270"/>
      <c r="U10" s="271"/>
      <c r="V10" s="272">
        <f t="shared" si="1"/>
        <v>8839</v>
      </c>
    </row>
    <row r="11" spans="1:22" ht="12.75">
      <c r="A11" s="375">
        <v>3</v>
      </c>
      <c r="B11" s="254" t="s">
        <v>276</v>
      </c>
      <c r="C11" s="361" t="s">
        <v>515</v>
      </c>
      <c r="D11" s="365">
        <v>275910</v>
      </c>
      <c r="E11" s="255" t="s">
        <v>277</v>
      </c>
      <c r="F11" s="254" t="s">
        <v>273</v>
      </c>
      <c r="G11" s="256"/>
      <c r="H11" s="256">
        <v>38211</v>
      </c>
      <c r="I11" s="256">
        <v>39414</v>
      </c>
      <c r="J11" s="256"/>
      <c r="K11" s="256"/>
      <c r="L11" s="256"/>
      <c r="M11" s="256"/>
      <c r="N11" s="256"/>
      <c r="O11" s="256"/>
      <c r="P11" s="256"/>
      <c r="Q11" s="257"/>
      <c r="R11" s="257"/>
      <c r="S11" s="257"/>
      <c r="T11" s="257"/>
      <c r="U11" s="258"/>
      <c r="V11" s="268">
        <f t="shared" si="1"/>
        <v>77625</v>
      </c>
    </row>
    <row r="12" spans="1:22" ht="12.75">
      <c r="A12" s="376"/>
      <c r="B12" s="260" t="s">
        <v>280</v>
      </c>
      <c r="C12" s="362"/>
      <c r="D12" s="366"/>
      <c r="E12" s="261" t="s">
        <v>279</v>
      </c>
      <c r="F12" s="262">
        <v>0.01981</v>
      </c>
      <c r="G12" s="264">
        <v>1563</v>
      </c>
      <c r="H12" s="264">
        <v>1539</v>
      </c>
      <c r="I12" s="264">
        <v>781</v>
      </c>
      <c r="J12" s="269"/>
      <c r="K12" s="269"/>
      <c r="L12" s="269"/>
      <c r="M12" s="269"/>
      <c r="N12" s="269"/>
      <c r="O12" s="269"/>
      <c r="P12" s="269"/>
      <c r="Q12" s="270"/>
      <c r="R12" s="270"/>
      <c r="S12" s="270"/>
      <c r="T12" s="270"/>
      <c r="U12" s="271"/>
      <c r="V12" s="272">
        <f t="shared" si="1"/>
        <v>3883</v>
      </c>
    </row>
    <row r="13" spans="1:22" ht="12.75">
      <c r="A13" s="375">
        <v>4</v>
      </c>
      <c r="B13" s="254" t="s">
        <v>276</v>
      </c>
      <c r="C13" s="361" t="s">
        <v>516</v>
      </c>
      <c r="D13" s="365">
        <v>124500</v>
      </c>
      <c r="E13" s="255" t="s">
        <v>277</v>
      </c>
      <c r="F13" s="254" t="s">
        <v>273</v>
      </c>
      <c r="G13" s="256">
        <v>17784</v>
      </c>
      <c r="H13" s="256">
        <v>17784</v>
      </c>
      <c r="I13" s="256">
        <v>17796</v>
      </c>
      <c r="J13" s="256"/>
      <c r="K13" s="256"/>
      <c r="L13" s="256"/>
      <c r="M13" s="256"/>
      <c r="N13" s="256"/>
      <c r="O13" s="256"/>
      <c r="P13" s="256"/>
      <c r="Q13" s="257"/>
      <c r="R13" s="257"/>
      <c r="S13" s="257"/>
      <c r="T13" s="257"/>
      <c r="U13" s="258"/>
      <c r="V13" s="268">
        <f t="shared" si="1"/>
        <v>53364</v>
      </c>
    </row>
    <row r="14" spans="1:22" ht="12.75">
      <c r="A14" s="376"/>
      <c r="B14" s="260" t="s">
        <v>281</v>
      </c>
      <c r="C14" s="362"/>
      <c r="D14" s="366"/>
      <c r="E14" s="261" t="s">
        <v>279</v>
      </c>
      <c r="F14" s="262">
        <v>0.01981</v>
      </c>
      <c r="G14" s="264">
        <v>1017</v>
      </c>
      <c r="H14" s="264">
        <v>623</v>
      </c>
      <c r="I14" s="264">
        <v>232</v>
      </c>
      <c r="J14" s="269"/>
      <c r="K14" s="269"/>
      <c r="L14" s="269"/>
      <c r="M14" s="269"/>
      <c r="N14" s="269"/>
      <c r="O14" s="269"/>
      <c r="P14" s="269"/>
      <c r="Q14" s="270"/>
      <c r="R14" s="270"/>
      <c r="S14" s="270"/>
      <c r="T14" s="270"/>
      <c r="U14" s="271"/>
      <c r="V14" s="272">
        <f t="shared" si="1"/>
        <v>1872</v>
      </c>
    </row>
    <row r="15" spans="1:22" ht="12.75">
      <c r="A15" s="375">
        <v>5</v>
      </c>
      <c r="B15" s="254" t="s">
        <v>276</v>
      </c>
      <c r="C15" s="373" t="s">
        <v>514</v>
      </c>
      <c r="D15" s="365">
        <v>796173.07</v>
      </c>
      <c r="E15" s="273" t="s">
        <v>282</v>
      </c>
      <c r="F15" s="254" t="s">
        <v>273</v>
      </c>
      <c r="G15" s="256">
        <v>35636</v>
      </c>
      <c r="H15" s="256">
        <v>151656</v>
      </c>
      <c r="I15" s="256">
        <v>151656</v>
      </c>
      <c r="J15" s="256">
        <v>37893</v>
      </c>
      <c r="K15" s="256"/>
      <c r="L15" s="256"/>
      <c r="M15" s="256"/>
      <c r="N15" s="256"/>
      <c r="O15" s="256"/>
      <c r="P15" s="256"/>
      <c r="Q15" s="257"/>
      <c r="R15" s="257"/>
      <c r="S15" s="257"/>
      <c r="T15" s="257"/>
      <c r="U15" s="258"/>
      <c r="V15" s="268">
        <f t="shared" si="1"/>
        <v>376841</v>
      </c>
    </row>
    <row r="16" spans="1:22" ht="12.75">
      <c r="A16" s="376"/>
      <c r="B16" s="260" t="s">
        <v>283</v>
      </c>
      <c r="C16" s="374"/>
      <c r="D16" s="366"/>
      <c r="E16" s="261" t="s">
        <v>284</v>
      </c>
      <c r="F16" s="262">
        <v>0.01944</v>
      </c>
      <c r="G16" s="264">
        <v>9999</v>
      </c>
      <c r="H16" s="264">
        <v>6984</v>
      </c>
      <c r="I16" s="264">
        <v>3651</v>
      </c>
      <c r="J16" s="264">
        <v>440</v>
      </c>
      <c r="K16" s="269"/>
      <c r="L16" s="269"/>
      <c r="M16" s="269"/>
      <c r="N16" s="269"/>
      <c r="O16" s="269"/>
      <c r="P16" s="269"/>
      <c r="Q16" s="270"/>
      <c r="R16" s="270"/>
      <c r="S16" s="270"/>
      <c r="T16" s="270"/>
      <c r="U16" s="271"/>
      <c r="V16" s="272">
        <f t="shared" si="1"/>
        <v>21074</v>
      </c>
    </row>
    <row r="17" spans="1:22" ht="12.75">
      <c r="A17" s="375">
        <v>6</v>
      </c>
      <c r="B17" s="254" t="s">
        <v>276</v>
      </c>
      <c r="C17" s="361" t="s">
        <v>517</v>
      </c>
      <c r="D17" s="356">
        <v>50764.71</v>
      </c>
      <c r="E17" s="255" t="s">
        <v>285</v>
      </c>
      <c r="F17" s="254" t="s">
        <v>273</v>
      </c>
      <c r="G17" s="256">
        <v>9672</v>
      </c>
      <c r="H17" s="256">
        <v>9672</v>
      </c>
      <c r="I17" s="256">
        <v>9672</v>
      </c>
      <c r="J17" s="256">
        <v>2405</v>
      </c>
      <c r="K17" s="256"/>
      <c r="L17" s="256"/>
      <c r="M17" s="256"/>
      <c r="N17" s="256"/>
      <c r="O17" s="256"/>
      <c r="P17" s="256"/>
      <c r="Q17" s="257"/>
      <c r="R17" s="257"/>
      <c r="S17" s="257"/>
      <c r="T17" s="257"/>
      <c r="U17" s="258"/>
      <c r="V17" s="268">
        <f t="shared" si="1"/>
        <v>31421</v>
      </c>
    </row>
    <row r="18" spans="1:22" ht="12.75">
      <c r="A18" s="376"/>
      <c r="B18" s="260" t="s">
        <v>286</v>
      </c>
      <c r="C18" s="362"/>
      <c r="D18" s="357"/>
      <c r="E18" s="261" t="s">
        <v>284</v>
      </c>
      <c r="F18" s="262">
        <v>0.01944</v>
      </c>
      <c r="G18" s="264">
        <v>639</v>
      </c>
      <c r="H18" s="264">
        <v>446</v>
      </c>
      <c r="I18" s="264">
        <v>233</v>
      </c>
      <c r="J18" s="264">
        <v>29</v>
      </c>
      <c r="K18" s="269"/>
      <c r="L18" s="269"/>
      <c r="M18" s="269"/>
      <c r="N18" s="269"/>
      <c r="O18" s="269"/>
      <c r="P18" s="269"/>
      <c r="Q18" s="270"/>
      <c r="R18" s="270"/>
      <c r="S18" s="270"/>
      <c r="T18" s="270"/>
      <c r="U18" s="271"/>
      <c r="V18" s="272">
        <f t="shared" si="1"/>
        <v>1347</v>
      </c>
    </row>
    <row r="19" spans="1:22" ht="12.75">
      <c r="A19" s="375">
        <v>7</v>
      </c>
      <c r="B19" s="254" t="s">
        <v>276</v>
      </c>
      <c r="C19" s="361" t="s">
        <v>518</v>
      </c>
      <c r="D19" s="356">
        <v>97786.44</v>
      </c>
      <c r="E19" s="255" t="s">
        <v>285</v>
      </c>
      <c r="F19" s="254" t="s">
        <v>273</v>
      </c>
      <c r="G19" s="256">
        <v>18628</v>
      </c>
      <c r="H19" s="256">
        <v>18628</v>
      </c>
      <c r="I19" s="256">
        <v>18628</v>
      </c>
      <c r="J19" s="256">
        <v>4646</v>
      </c>
      <c r="K19" s="256"/>
      <c r="L19" s="256"/>
      <c r="M19" s="256"/>
      <c r="N19" s="256"/>
      <c r="O19" s="256"/>
      <c r="P19" s="256"/>
      <c r="Q19" s="257"/>
      <c r="R19" s="257"/>
      <c r="S19" s="257"/>
      <c r="T19" s="257"/>
      <c r="U19" s="258"/>
      <c r="V19" s="268">
        <f t="shared" si="1"/>
        <v>60530</v>
      </c>
    </row>
    <row r="20" spans="1:22" ht="12.75">
      <c r="A20" s="376"/>
      <c r="B20" s="260" t="s">
        <v>287</v>
      </c>
      <c r="C20" s="362"/>
      <c r="D20" s="357"/>
      <c r="E20" s="261" t="s">
        <v>284</v>
      </c>
      <c r="F20" s="262">
        <v>0.01944</v>
      </c>
      <c r="G20" s="264">
        <v>1228</v>
      </c>
      <c r="H20" s="264">
        <v>858</v>
      </c>
      <c r="I20" s="264">
        <v>449</v>
      </c>
      <c r="J20" s="264">
        <v>54</v>
      </c>
      <c r="K20" s="269"/>
      <c r="L20" s="269"/>
      <c r="M20" s="269"/>
      <c r="N20" s="269"/>
      <c r="O20" s="269"/>
      <c r="P20" s="269"/>
      <c r="Q20" s="270"/>
      <c r="R20" s="270"/>
      <c r="S20" s="270"/>
      <c r="T20" s="270"/>
      <c r="U20" s="271"/>
      <c r="V20" s="272">
        <f t="shared" si="1"/>
        <v>2589</v>
      </c>
    </row>
    <row r="21" spans="1:22" ht="12.75">
      <c r="A21" s="375">
        <v>8</v>
      </c>
      <c r="B21" s="254" t="s">
        <v>276</v>
      </c>
      <c r="C21" s="361" t="s">
        <v>519</v>
      </c>
      <c r="D21" s="356">
        <v>23884.32</v>
      </c>
      <c r="E21" s="255" t="s">
        <v>285</v>
      </c>
      <c r="F21" s="254" t="s">
        <v>273</v>
      </c>
      <c r="G21" s="256">
        <v>4552</v>
      </c>
      <c r="H21" s="256">
        <v>4552</v>
      </c>
      <c r="I21" s="256">
        <v>4552</v>
      </c>
      <c r="J21" s="256">
        <v>1124</v>
      </c>
      <c r="K21" s="256"/>
      <c r="L21" s="256"/>
      <c r="M21" s="256"/>
      <c r="N21" s="256"/>
      <c r="O21" s="256"/>
      <c r="P21" s="256"/>
      <c r="Q21" s="257"/>
      <c r="R21" s="257"/>
      <c r="S21" s="257"/>
      <c r="T21" s="257"/>
      <c r="U21" s="258"/>
      <c r="V21" s="268">
        <f t="shared" si="1"/>
        <v>14780</v>
      </c>
    </row>
    <row r="22" spans="1:22" ht="12.75">
      <c r="A22" s="376"/>
      <c r="B22" s="260" t="s">
        <v>288</v>
      </c>
      <c r="C22" s="362"/>
      <c r="D22" s="357"/>
      <c r="E22" s="261" t="s">
        <v>284</v>
      </c>
      <c r="F22" s="262">
        <v>0.01944</v>
      </c>
      <c r="G22" s="264">
        <v>300</v>
      </c>
      <c r="H22" s="264">
        <v>209</v>
      </c>
      <c r="I22" s="264">
        <v>109</v>
      </c>
      <c r="J22" s="264">
        <v>13</v>
      </c>
      <c r="K22" s="269"/>
      <c r="L22" s="269"/>
      <c r="M22" s="269"/>
      <c r="N22" s="269"/>
      <c r="O22" s="269"/>
      <c r="P22" s="269"/>
      <c r="Q22" s="270"/>
      <c r="R22" s="270"/>
      <c r="S22" s="270"/>
      <c r="T22" s="270"/>
      <c r="U22" s="271"/>
      <c r="V22" s="272">
        <f t="shared" si="1"/>
        <v>631</v>
      </c>
    </row>
    <row r="23" spans="1:22" ht="12.75" customHeight="1">
      <c r="A23" s="375">
        <v>9</v>
      </c>
      <c r="B23" s="254" t="s">
        <v>276</v>
      </c>
      <c r="C23" s="361" t="s">
        <v>520</v>
      </c>
      <c r="D23" s="356">
        <v>40715</v>
      </c>
      <c r="E23" s="255" t="s">
        <v>285</v>
      </c>
      <c r="F23" s="254" t="s">
        <v>273</v>
      </c>
      <c r="G23" s="256">
        <v>7756</v>
      </c>
      <c r="H23" s="256">
        <v>7756</v>
      </c>
      <c r="I23" s="256">
        <v>7756</v>
      </c>
      <c r="J23" s="256">
        <v>1935</v>
      </c>
      <c r="K23" s="256"/>
      <c r="L23" s="256"/>
      <c r="M23" s="256"/>
      <c r="N23" s="256"/>
      <c r="O23" s="256"/>
      <c r="P23" s="256"/>
      <c r="Q23" s="257"/>
      <c r="R23" s="257"/>
      <c r="S23" s="257"/>
      <c r="T23" s="257"/>
      <c r="U23" s="258"/>
      <c r="V23" s="268">
        <f t="shared" si="1"/>
        <v>25203</v>
      </c>
    </row>
    <row r="24" spans="1:22" ht="12.75">
      <c r="A24" s="376"/>
      <c r="B24" s="260" t="s">
        <v>289</v>
      </c>
      <c r="C24" s="362"/>
      <c r="D24" s="357"/>
      <c r="E24" s="261" t="s">
        <v>284</v>
      </c>
      <c r="F24" s="262">
        <v>0.01944</v>
      </c>
      <c r="G24" s="264">
        <v>512</v>
      </c>
      <c r="H24" s="264">
        <v>357</v>
      </c>
      <c r="I24" s="264">
        <v>187</v>
      </c>
      <c r="J24" s="264">
        <v>23</v>
      </c>
      <c r="K24" s="269"/>
      <c r="L24" s="269"/>
      <c r="M24" s="269"/>
      <c r="N24" s="269"/>
      <c r="O24" s="269"/>
      <c r="P24" s="269"/>
      <c r="Q24" s="270"/>
      <c r="R24" s="270"/>
      <c r="S24" s="270"/>
      <c r="T24" s="270"/>
      <c r="U24" s="271"/>
      <c r="V24" s="272">
        <f t="shared" si="1"/>
        <v>1079</v>
      </c>
    </row>
    <row r="25" spans="1:22" ht="12.75" customHeight="1">
      <c r="A25" s="375">
        <v>10</v>
      </c>
      <c r="B25" s="254" t="s">
        <v>276</v>
      </c>
      <c r="C25" s="361" t="s">
        <v>521</v>
      </c>
      <c r="D25" s="356">
        <v>217212.26</v>
      </c>
      <c r="E25" s="255" t="s">
        <v>290</v>
      </c>
      <c r="F25" s="254" t="s">
        <v>273</v>
      </c>
      <c r="G25" s="256">
        <v>41376</v>
      </c>
      <c r="H25" s="256">
        <v>41376</v>
      </c>
      <c r="I25" s="256">
        <v>41376</v>
      </c>
      <c r="J25" s="256">
        <v>10332</v>
      </c>
      <c r="K25" s="256"/>
      <c r="L25" s="256"/>
      <c r="M25" s="256"/>
      <c r="N25" s="256"/>
      <c r="O25" s="256"/>
      <c r="P25" s="256"/>
      <c r="Q25" s="257"/>
      <c r="R25" s="257"/>
      <c r="S25" s="257"/>
      <c r="T25" s="257"/>
      <c r="U25" s="258"/>
      <c r="V25" s="268">
        <f t="shared" si="1"/>
        <v>134460</v>
      </c>
    </row>
    <row r="26" spans="1:22" ht="12.75">
      <c r="A26" s="376"/>
      <c r="B26" s="260" t="s">
        <v>291</v>
      </c>
      <c r="C26" s="362"/>
      <c r="D26" s="357"/>
      <c r="E26" s="261" t="s">
        <v>284</v>
      </c>
      <c r="F26" s="262">
        <v>0.01944</v>
      </c>
      <c r="G26" s="264">
        <v>2733</v>
      </c>
      <c r="H26" s="264">
        <v>1906</v>
      </c>
      <c r="I26" s="264">
        <v>996</v>
      </c>
      <c r="J26" s="264">
        <v>120</v>
      </c>
      <c r="K26" s="269"/>
      <c r="L26" s="269"/>
      <c r="M26" s="269"/>
      <c r="N26" s="269"/>
      <c r="O26" s="269"/>
      <c r="P26" s="269"/>
      <c r="Q26" s="270"/>
      <c r="R26" s="270"/>
      <c r="S26" s="270"/>
      <c r="T26" s="270"/>
      <c r="U26" s="271"/>
      <c r="V26" s="272">
        <f t="shared" si="1"/>
        <v>5755</v>
      </c>
    </row>
    <row r="27" spans="1:22" ht="12.75">
      <c r="A27" s="375">
        <v>11</v>
      </c>
      <c r="B27" s="254" t="s">
        <v>276</v>
      </c>
      <c r="C27" s="361" t="s">
        <v>522</v>
      </c>
      <c r="D27" s="356">
        <v>29398.62</v>
      </c>
      <c r="E27" s="255" t="s">
        <v>290</v>
      </c>
      <c r="F27" s="254" t="s">
        <v>273</v>
      </c>
      <c r="G27" s="256">
        <v>5600</v>
      </c>
      <c r="H27" s="256">
        <v>5600</v>
      </c>
      <c r="I27" s="256">
        <v>5600</v>
      </c>
      <c r="J27" s="256">
        <v>1399</v>
      </c>
      <c r="K27" s="256"/>
      <c r="L27" s="256"/>
      <c r="M27" s="256"/>
      <c r="N27" s="256"/>
      <c r="O27" s="256"/>
      <c r="P27" s="256"/>
      <c r="Q27" s="257"/>
      <c r="R27" s="257"/>
      <c r="S27" s="257"/>
      <c r="T27" s="257"/>
      <c r="U27" s="258"/>
      <c r="V27" s="268">
        <f t="shared" si="1"/>
        <v>18199</v>
      </c>
    </row>
    <row r="28" spans="1:22" ht="12.75">
      <c r="A28" s="376"/>
      <c r="B28" s="260" t="s">
        <v>292</v>
      </c>
      <c r="C28" s="362"/>
      <c r="D28" s="357"/>
      <c r="E28" s="261" t="s">
        <v>284</v>
      </c>
      <c r="F28" s="262">
        <v>0.01981</v>
      </c>
      <c r="G28" s="264">
        <v>376</v>
      </c>
      <c r="H28" s="264">
        <v>258</v>
      </c>
      <c r="I28" s="264">
        <v>135</v>
      </c>
      <c r="J28" s="264">
        <v>16</v>
      </c>
      <c r="K28" s="269"/>
      <c r="L28" s="269"/>
      <c r="M28" s="269"/>
      <c r="N28" s="269"/>
      <c r="O28" s="269"/>
      <c r="P28" s="269"/>
      <c r="Q28" s="270"/>
      <c r="R28" s="270"/>
      <c r="S28" s="270"/>
      <c r="T28" s="270"/>
      <c r="U28" s="271"/>
      <c r="V28" s="272">
        <f t="shared" si="1"/>
        <v>785</v>
      </c>
    </row>
    <row r="29" spans="1:22" ht="12.75" customHeight="1">
      <c r="A29" s="375">
        <v>12</v>
      </c>
      <c r="B29" s="254" t="s">
        <v>276</v>
      </c>
      <c r="C29" s="361" t="s">
        <v>523</v>
      </c>
      <c r="D29" s="356">
        <v>705769.83</v>
      </c>
      <c r="E29" s="255" t="s">
        <v>290</v>
      </c>
      <c r="F29" s="254" t="s">
        <v>273</v>
      </c>
      <c r="G29" s="256">
        <v>134436</v>
      </c>
      <c r="H29" s="256">
        <v>134436</v>
      </c>
      <c r="I29" s="256">
        <v>134436</v>
      </c>
      <c r="J29" s="256">
        <v>33590</v>
      </c>
      <c r="K29" s="256"/>
      <c r="L29" s="256"/>
      <c r="M29" s="256"/>
      <c r="N29" s="256"/>
      <c r="O29" s="256"/>
      <c r="P29" s="256"/>
      <c r="Q29" s="256"/>
      <c r="R29" s="257"/>
      <c r="S29" s="257"/>
      <c r="T29" s="257"/>
      <c r="U29" s="258"/>
      <c r="V29" s="268">
        <f t="shared" si="1"/>
        <v>436898</v>
      </c>
    </row>
    <row r="30" spans="1:22" ht="12.75">
      <c r="A30" s="376"/>
      <c r="B30" s="260" t="s">
        <v>293</v>
      </c>
      <c r="C30" s="362"/>
      <c r="D30" s="357"/>
      <c r="E30" s="261" t="s">
        <v>284</v>
      </c>
      <c r="F30" s="262">
        <v>0.01944</v>
      </c>
      <c r="G30" s="264">
        <v>8898</v>
      </c>
      <c r="H30" s="264">
        <v>6193</v>
      </c>
      <c r="I30" s="264">
        <v>3238</v>
      </c>
      <c r="J30" s="264">
        <v>391</v>
      </c>
      <c r="K30" s="269"/>
      <c r="L30" s="269"/>
      <c r="M30" s="269"/>
      <c r="N30" s="269"/>
      <c r="O30" s="269"/>
      <c r="P30" s="269"/>
      <c r="Q30" s="269"/>
      <c r="R30" s="270"/>
      <c r="S30" s="270"/>
      <c r="T30" s="270"/>
      <c r="U30" s="271"/>
      <c r="V30" s="272">
        <f t="shared" si="1"/>
        <v>18720</v>
      </c>
    </row>
    <row r="31" spans="1:22" ht="12.75" customHeight="1">
      <c r="A31" s="375">
        <v>13</v>
      </c>
      <c r="B31" s="254" t="s">
        <v>276</v>
      </c>
      <c r="C31" s="361" t="s">
        <v>524</v>
      </c>
      <c r="D31" s="356">
        <v>65365</v>
      </c>
      <c r="E31" s="255" t="s">
        <v>290</v>
      </c>
      <c r="F31" s="254" t="s">
        <v>273</v>
      </c>
      <c r="G31" s="256">
        <v>21781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257"/>
      <c r="T31" s="257"/>
      <c r="U31" s="258"/>
      <c r="V31" s="268">
        <f t="shared" si="1"/>
        <v>21781</v>
      </c>
    </row>
    <row r="32" spans="1:22" ht="12.75">
      <c r="A32" s="376"/>
      <c r="B32" s="260" t="s">
        <v>294</v>
      </c>
      <c r="C32" s="362"/>
      <c r="D32" s="357"/>
      <c r="E32" s="274">
        <v>46162</v>
      </c>
      <c r="F32" s="262">
        <v>0.01944</v>
      </c>
      <c r="G32" s="264">
        <v>394</v>
      </c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5"/>
      <c r="S32" s="265"/>
      <c r="T32" s="265"/>
      <c r="U32" s="266"/>
      <c r="V32" s="272">
        <f t="shared" si="1"/>
        <v>394</v>
      </c>
    </row>
    <row r="33" spans="1:22" ht="12.75" customHeight="1">
      <c r="A33" s="375">
        <v>14</v>
      </c>
      <c r="B33" s="254" t="s">
        <v>276</v>
      </c>
      <c r="C33" s="361" t="s">
        <v>525</v>
      </c>
      <c r="D33" s="356">
        <v>601694.77</v>
      </c>
      <c r="E33" s="273" t="s">
        <v>295</v>
      </c>
      <c r="F33" s="254" t="s">
        <v>273</v>
      </c>
      <c r="G33" s="256">
        <v>114612</v>
      </c>
      <c r="H33" s="256">
        <v>114612</v>
      </c>
      <c r="I33" s="256">
        <v>114612</v>
      </c>
      <c r="J33" s="256">
        <v>28635</v>
      </c>
      <c r="K33" s="256"/>
      <c r="L33" s="256"/>
      <c r="M33" s="256"/>
      <c r="N33" s="256"/>
      <c r="O33" s="256"/>
      <c r="P33" s="256"/>
      <c r="Q33" s="256"/>
      <c r="R33" s="257"/>
      <c r="S33" s="257"/>
      <c r="T33" s="257"/>
      <c r="U33" s="258"/>
      <c r="V33" s="268">
        <f t="shared" si="1"/>
        <v>372471</v>
      </c>
    </row>
    <row r="34" spans="1:22" ht="12.75">
      <c r="A34" s="376"/>
      <c r="B34" s="260" t="s">
        <v>296</v>
      </c>
      <c r="C34" s="362"/>
      <c r="D34" s="357"/>
      <c r="E34" s="274">
        <v>42389</v>
      </c>
      <c r="F34" s="262">
        <v>0.01944</v>
      </c>
      <c r="G34" s="264">
        <v>7585</v>
      </c>
      <c r="H34" s="264">
        <v>5280</v>
      </c>
      <c r="I34" s="264">
        <v>2760</v>
      </c>
      <c r="J34" s="264">
        <v>333</v>
      </c>
      <c r="K34" s="264"/>
      <c r="L34" s="264"/>
      <c r="M34" s="264"/>
      <c r="N34" s="264"/>
      <c r="O34" s="264"/>
      <c r="P34" s="264"/>
      <c r="Q34" s="264"/>
      <c r="R34" s="265"/>
      <c r="S34" s="265"/>
      <c r="T34" s="265"/>
      <c r="U34" s="266"/>
      <c r="V34" s="272">
        <f t="shared" si="1"/>
        <v>15958</v>
      </c>
    </row>
    <row r="35" spans="1:22" ht="12.75" customHeight="1">
      <c r="A35" s="375">
        <v>15</v>
      </c>
      <c r="B35" s="254" t="s">
        <v>276</v>
      </c>
      <c r="C35" s="361" t="s">
        <v>526</v>
      </c>
      <c r="D35" s="356">
        <v>26669</v>
      </c>
      <c r="E35" s="255" t="s">
        <v>290</v>
      </c>
      <c r="F35" s="254" t="s">
        <v>273</v>
      </c>
      <c r="G35" s="256">
        <v>5080</v>
      </c>
      <c r="H35" s="256">
        <v>5080</v>
      </c>
      <c r="I35" s="256">
        <v>5080</v>
      </c>
      <c r="J35" s="256">
        <v>1270</v>
      </c>
      <c r="K35" s="256"/>
      <c r="L35" s="256"/>
      <c r="M35" s="256"/>
      <c r="N35" s="256"/>
      <c r="O35" s="256"/>
      <c r="P35" s="256"/>
      <c r="Q35" s="256"/>
      <c r="R35" s="257"/>
      <c r="S35" s="257"/>
      <c r="T35" s="257"/>
      <c r="U35" s="258"/>
      <c r="V35" s="268">
        <f t="shared" si="1"/>
        <v>16510</v>
      </c>
    </row>
    <row r="36" spans="1:22" ht="12.75">
      <c r="A36" s="376"/>
      <c r="B36" s="260" t="s">
        <v>297</v>
      </c>
      <c r="C36" s="362"/>
      <c r="D36" s="357"/>
      <c r="E36" s="261" t="s">
        <v>284</v>
      </c>
      <c r="F36" s="262">
        <v>0.01944</v>
      </c>
      <c r="G36" s="264">
        <v>310</v>
      </c>
      <c r="H36" s="264">
        <v>206</v>
      </c>
      <c r="I36" s="269">
        <v>94</v>
      </c>
      <c r="J36" s="269">
        <v>6</v>
      </c>
      <c r="K36" s="269"/>
      <c r="L36" s="269"/>
      <c r="M36" s="269"/>
      <c r="N36" s="269"/>
      <c r="O36" s="269"/>
      <c r="P36" s="269"/>
      <c r="Q36" s="269"/>
      <c r="R36" s="270"/>
      <c r="S36" s="270"/>
      <c r="T36" s="270"/>
      <c r="U36" s="271"/>
      <c r="V36" s="272">
        <f t="shared" si="1"/>
        <v>616</v>
      </c>
    </row>
    <row r="37" spans="1:22" ht="12.75">
      <c r="A37" s="375">
        <v>16</v>
      </c>
      <c r="B37" s="254" t="s">
        <v>276</v>
      </c>
      <c r="C37" s="361" t="s">
        <v>527</v>
      </c>
      <c r="D37" s="356">
        <v>1685028</v>
      </c>
      <c r="E37" s="273" t="s">
        <v>298</v>
      </c>
      <c r="F37" s="254" t="s">
        <v>273</v>
      </c>
      <c r="G37" s="256">
        <v>232400</v>
      </c>
      <c r="H37" s="256">
        <v>232400</v>
      </c>
      <c r="I37" s="256">
        <v>232400</v>
      </c>
      <c r="J37" s="256">
        <v>418320</v>
      </c>
      <c r="K37" s="256">
        <v>104708</v>
      </c>
      <c r="L37" s="256"/>
      <c r="M37" s="256"/>
      <c r="N37" s="256"/>
      <c r="O37" s="256"/>
      <c r="P37" s="256"/>
      <c r="Q37" s="257"/>
      <c r="R37" s="257"/>
      <c r="S37" s="257"/>
      <c r="T37" s="257"/>
      <c r="U37" s="258"/>
      <c r="V37" s="268">
        <f t="shared" si="1"/>
        <v>1220228</v>
      </c>
    </row>
    <row r="38" spans="1:22" ht="12.75">
      <c r="A38" s="376"/>
      <c r="B38" s="260" t="s">
        <v>299</v>
      </c>
      <c r="C38" s="362"/>
      <c r="D38" s="357"/>
      <c r="E38" s="261" t="s">
        <v>300</v>
      </c>
      <c r="F38" s="262">
        <v>0.01981</v>
      </c>
      <c r="G38" s="264">
        <v>24962</v>
      </c>
      <c r="H38" s="264">
        <v>20926</v>
      </c>
      <c r="I38" s="264">
        <v>15818</v>
      </c>
      <c r="J38" s="264">
        <v>9910</v>
      </c>
      <c r="K38" s="264">
        <v>1216</v>
      </c>
      <c r="L38" s="269"/>
      <c r="M38" s="269"/>
      <c r="N38" s="269"/>
      <c r="O38" s="269"/>
      <c r="P38" s="269"/>
      <c r="Q38" s="270"/>
      <c r="R38" s="270"/>
      <c r="S38" s="270"/>
      <c r="T38" s="270"/>
      <c r="U38" s="271"/>
      <c r="V38" s="272">
        <f t="shared" si="1"/>
        <v>72832</v>
      </c>
    </row>
    <row r="39" spans="1:22" ht="12.75" customHeight="1">
      <c r="A39" s="375">
        <v>17</v>
      </c>
      <c r="B39" s="254" t="s">
        <v>276</v>
      </c>
      <c r="C39" s="361" t="s">
        <v>528</v>
      </c>
      <c r="D39" s="356">
        <v>270548</v>
      </c>
      <c r="E39" s="273" t="s">
        <v>298</v>
      </c>
      <c r="F39" s="254" t="s">
        <v>273</v>
      </c>
      <c r="G39" s="256">
        <v>37600</v>
      </c>
      <c r="H39" s="256">
        <v>37600</v>
      </c>
      <c r="I39" s="256">
        <v>37600</v>
      </c>
      <c r="J39" s="256">
        <v>37600</v>
      </c>
      <c r="K39" s="256">
        <v>7348</v>
      </c>
      <c r="L39" s="256"/>
      <c r="M39" s="256"/>
      <c r="N39" s="256"/>
      <c r="O39" s="256"/>
      <c r="P39" s="256"/>
      <c r="Q39" s="257"/>
      <c r="R39" s="257"/>
      <c r="S39" s="257"/>
      <c r="T39" s="257"/>
      <c r="U39" s="258"/>
      <c r="V39" s="268">
        <f aca="true" t="shared" si="2" ref="V39:V70">SUM(G39:S39)</f>
        <v>157748</v>
      </c>
    </row>
    <row r="40" spans="1:22" ht="12.75">
      <c r="A40" s="376"/>
      <c r="B40" s="260" t="s">
        <v>301</v>
      </c>
      <c r="C40" s="362"/>
      <c r="D40" s="357"/>
      <c r="E40" s="261" t="s">
        <v>300</v>
      </c>
      <c r="F40" s="262">
        <v>0.01981</v>
      </c>
      <c r="G40" s="264">
        <v>3241</v>
      </c>
      <c r="H40" s="264">
        <v>2514</v>
      </c>
      <c r="I40" s="264">
        <v>1687</v>
      </c>
      <c r="J40" s="264">
        <v>865</v>
      </c>
      <c r="K40" s="264">
        <v>95</v>
      </c>
      <c r="L40" s="269"/>
      <c r="M40" s="269"/>
      <c r="N40" s="269"/>
      <c r="O40" s="269"/>
      <c r="P40" s="269"/>
      <c r="Q40" s="270"/>
      <c r="R40" s="270"/>
      <c r="S40" s="270"/>
      <c r="T40" s="270"/>
      <c r="U40" s="271"/>
      <c r="V40" s="272">
        <f t="shared" si="2"/>
        <v>8402</v>
      </c>
    </row>
    <row r="41" spans="1:22" ht="12.75">
      <c r="A41" s="375">
        <v>18</v>
      </c>
      <c r="B41" s="254" t="s">
        <v>276</v>
      </c>
      <c r="C41" s="361" t="s">
        <v>529</v>
      </c>
      <c r="D41" s="356">
        <v>1087860</v>
      </c>
      <c r="E41" s="273" t="s">
        <v>298</v>
      </c>
      <c r="F41" s="254" t="s">
        <v>273</v>
      </c>
      <c r="G41" s="256">
        <v>150000</v>
      </c>
      <c r="H41" s="256">
        <v>150000</v>
      </c>
      <c r="I41" s="256">
        <v>150000</v>
      </c>
      <c r="J41" s="256">
        <v>150000</v>
      </c>
      <c r="K41" s="256">
        <v>37860</v>
      </c>
      <c r="L41" s="256"/>
      <c r="M41" s="256"/>
      <c r="N41" s="256"/>
      <c r="O41" s="256"/>
      <c r="P41" s="256"/>
      <c r="Q41" s="257"/>
      <c r="R41" s="257"/>
      <c r="S41" s="257"/>
      <c r="T41" s="257"/>
      <c r="U41" s="258"/>
      <c r="V41" s="268">
        <f t="shared" si="2"/>
        <v>637860</v>
      </c>
    </row>
    <row r="42" spans="1:22" ht="12.75">
      <c r="A42" s="376"/>
      <c r="B42" s="260" t="s">
        <v>302</v>
      </c>
      <c r="C42" s="362"/>
      <c r="D42" s="357"/>
      <c r="E42" s="261" t="s">
        <v>300</v>
      </c>
      <c r="F42" s="262">
        <v>0.01981</v>
      </c>
      <c r="G42" s="264">
        <v>13100</v>
      </c>
      <c r="H42" s="264">
        <v>10216</v>
      </c>
      <c r="I42" s="264">
        <v>6918</v>
      </c>
      <c r="J42" s="264">
        <v>3642</v>
      </c>
      <c r="K42" s="264">
        <v>438</v>
      </c>
      <c r="L42" s="269"/>
      <c r="M42" s="269"/>
      <c r="N42" s="269"/>
      <c r="O42" s="269"/>
      <c r="P42" s="269"/>
      <c r="Q42" s="270"/>
      <c r="R42" s="270"/>
      <c r="S42" s="270"/>
      <c r="T42" s="270"/>
      <c r="U42" s="271"/>
      <c r="V42" s="272">
        <f t="shared" si="2"/>
        <v>34314</v>
      </c>
    </row>
    <row r="43" spans="1:22" ht="12.75">
      <c r="A43" s="375">
        <v>19</v>
      </c>
      <c r="B43" s="254" t="s">
        <v>276</v>
      </c>
      <c r="C43" s="361" t="s">
        <v>530</v>
      </c>
      <c r="D43" s="356">
        <v>3363373</v>
      </c>
      <c r="E43" s="273" t="s">
        <v>298</v>
      </c>
      <c r="F43" s="254" t="s">
        <v>273</v>
      </c>
      <c r="G43" s="256">
        <v>464000</v>
      </c>
      <c r="H43" s="256">
        <v>464000</v>
      </c>
      <c r="I43" s="256">
        <v>464000</v>
      </c>
      <c r="J43" s="256">
        <v>835200</v>
      </c>
      <c r="K43" s="256">
        <v>208173</v>
      </c>
      <c r="L43" s="256"/>
      <c r="M43" s="256"/>
      <c r="N43" s="256"/>
      <c r="O43" s="256"/>
      <c r="P43" s="256"/>
      <c r="Q43" s="257"/>
      <c r="R43" s="257"/>
      <c r="S43" s="257"/>
      <c r="T43" s="257"/>
      <c r="U43" s="258"/>
      <c r="V43" s="268">
        <f t="shared" si="2"/>
        <v>2435373</v>
      </c>
    </row>
    <row r="44" spans="1:22" ht="12.75">
      <c r="A44" s="376"/>
      <c r="B44" s="260" t="s">
        <v>303</v>
      </c>
      <c r="C44" s="362"/>
      <c r="D44" s="357"/>
      <c r="E44" s="261" t="s">
        <v>300</v>
      </c>
      <c r="F44" s="262">
        <v>0.01981</v>
      </c>
      <c r="G44" s="264">
        <v>49808</v>
      </c>
      <c r="H44" s="264">
        <v>41761</v>
      </c>
      <c r="I44" s="264">
        <v>31562</v>
      </c>
      <c r="J44" s="264">
        <v>19766</v>
      </c>
      <c r="K44" s="264">
        <v>2423</v>
      </c>
      <c r="L44" s="269"/>
      <c r="M44" s="269"/>
      <c r="N44" s="269"/>
      <c r="O44" s="269"/>
      <c r="P44" s="269"/>
      <c r="Q44" s="270"/>
      <c r="R44" s="270"/>
      <c r="S44" s="270"/>
      <c r="T44" s="270"/>
      <c r="U44" s="271"/>
      <c r="V44" s="272">
        <f t="shared" si="2"/>
        <v>145320</v>
      </c>
    </row>
    <row r="45" spans="1:22" ht="12.75" customHeight="1">
      <c r="A45" s="375">
        <v>20</v>
      </c>
      <c r="B45" s="254" t="s">
        <v>276</v>
      </c>
      <c r="C45" s="361" t="s">
        <v>531</v>
      </c>
      <c r="D45" s="356">
        <v>863700</v>
      </c>
      <c r="E45" s="273" t="s">
        <v>298</v>
      </c>
      <c r="F45" s="254" t="s">
        <v>273</v>
      </c>
      <c r="G45" s="256">
        <v>119200</v>
      </c>
      <c r="H45" s="256">
        <v>119200</v>
      </c>
      <c r="I45" s="256">
        <v>119200</v>
      </c>
      <c r="J45" s="256">
        <v>119200</v>
      </c>
      <c r="K45" s="256">
        <v>29300</v>
      </c>
      <c r="L45" s="256"/>
      <c r="M45" s="256"/>
      <c r="N45" s="256"/>
      <c r="O45" s="256"/>
      <c r="P45" s="256"/>
      <c r="Q45" s="257"/>
      <c r="R45" s="257"/>
      <c r="S45" s="257"/>
      <c r="T45" s="257"/>
      <c r="U45" s="258"/>
      <c r="V45" s="268">
        <f t="shared" si="2"/>
        <v>506100</v>
      </c>
    </row>
    <row r="46" spans="1:22" ht="12.75">
      <c r="A46" s="376"/>
      <c r="B46" s="260" t="s">
        <v>304</v>
      </c>
      <c r="C46" s="362"/>
      <c r="D46" s="357"/>
      <c r="E46" s="261" t="s">
        <v>300</v>
      </c>
      <c r="F46" s="262">
        <v>0.01981</v>
      </c>
      <c r="G46" s="264">
        <v>10395</v>
      </c>
      <c r="H46" s="264">
        <v>8101</v>
      </c>
      <c r="I46" s="264">
        <v>5481</v>
      </c>
      <c r="J46" s="264">
        <v>2876</v>
      </c>
      <c r="K46" s="264">
        <v>343</v>
      </c>
      <c r="L46" s="269"/>
      <c r="M46" s="269"/>
      <c r="N46" s="269"/>
      <c r="O46" s="269"/>
      <c r="P46" s="269"/>
      <c r="Q46" s="270"/>
      <c r="R46" s="270"/>
      <c r="S46" s="270"/>
      <c r="T46" s="270"/>
      <c r="U46" s="271"/>
      <c r="V46" s="267">
        <f t="shared" si="2"/>
        <v>27196</v>
      </c>
    </row>
    <row r="47" spans="1:22" ht="12.75" customHeight="1">
      <c r="A47" s="375">
        <v>21</v>
      </c>
      <c r="B47" s="254" t="s">
        <v>276</v>
      </c>
      <c r="C47" s="361" t="s">
        <v>532</v>
      </c>
      <c r="D47" s="356">
        <v>1047454</v>
      </c>
      <c r="E47" s="273" t="s">
        <v>298</v>
      </c>
      <c r="F47" s="254" t="s">
        <v>273</v>
      </c>
      <c r="G47" s="256">
        <v>60757</v>
      </c>
      <c r="H47" s="256">
        <v>144400</v>
      </c>
      <c r="I47" s="256">
        <v>144400</v>
      </c>
      <c r="J47" s="256">
        <v>144400</v>
      </c>
      <c r="K47" s="256">
        <v>36654</v>
      </c>
      <c r="L47" s="256"/>
      <c r="M47" s="256"/>
      <c r="N47" s="256"/>
      <c r="O47" s="256"/>
      <c r="P47" s="256"/>
      <c r="Q47" s="257"/>
      <c r="R47" s="257"/>
      <c r="S47" s="257"/>
      <c r="T47" s="257"/>
      <c r="U47" s="258"/>
      <c r="V47" s="259">
        <f t="shared" si="2"/>
        <v>530611</v>
      </c>
    </row>
    <row r="48" spans="1:22" ht="12.75">
      <c r="A48" s="376"/>
      <c r="B48" s="260" t="s">
        <v>305</v>
      </c>
      <c r="C48" s="362"/>
      <c r="D48" s="357"/>
      <c r="E48" s="261" t="s">
        <v>300</v>
      </c>
      <c r="F48" s="262">
        <v>0.01981</v>
      </c>
      <c r="G48" s="264">
        <v>10935</v>
      </c>
      <c r="H48" s="264">
        <v>9839</v>
      </c>
      <c r="I48" s="264">
        <v>6665</v>
      </c>
      <c r="J48" s="264">
        <v>3497</v>
      </c>
      <c r="K48" s="264">
        <v>554</v>
      </c>
      <c r="L48" s="269"/>
      <c r="M48" s="269"/>
      <c r="N48" s="269"/>
      <c r="O48" s="269"/>
      <c r="P48" s="269"/>
      <c r="Q48" s="270"/>
      <c r="R48" s="270"/>
      <c r="S48" s="270"/>
      <c r="T48" s="270"/>
      <c r="U48" s="271"/>
      <c r="V48" s="267">
        <f t="shared" si="2"/>
        <v>31490</v>
      </c>
    </row>
    <row r="49" spans="1:22" ht="12.75" customHeight="1">
      <c r="A49" s="375">
        <v>22</v>
      </c>
      <c r="B49" s="254" t="s">
        <v>276</v>
      </c>
      <c r="C49" s="361" t="s">
        <v>533</v>
      </c>
      <c r="D49" s="356">
        <v>2420645</v>
      </c>
      <c r="E49" s="255" t="s">
        <v>306</v>
      </c>
      <c r="F49" s="254" t="s">
        <v>273</v>
      </c>
      <c r="G49" s="256">
        <v>225180</v>
      </c>
      <c r="H49" s="256">
        <v>225180</v>
      </c>
      <c r="I49" s="256">
        <v>225180</v>
      </c>
      <c r="J49" s="256">
        <v>225180</v>
      </c>
      <c r="K49" s="256">
        <v>225180</v>
      </c>
      <c r="L49" s="256">
        <v>225180</v>
      </c>
      <c r="M49" s="256">
        <v>225180</v>
      </c>
      <c r="N49" s="256">
        <v>225180</v>
      </c>
      <c r="O49" s="256">
        <v>225180</v>
      </c>
      <c r="P49" s="256">
        <v>56255</v>
      </c>
      <c r="Q49" s="256"/>
      <c r="R49" s="256"/>
      <c r="S49" s="257"/>
      <c r="T49" s="257"/>
      <c r="U49" s="258"/>
      <c r="V49" s="259">
        <f t="shared" si="2"/>
        <v>2082875</v>
      </c>
    </row>
    <row r="50" spans="1:22" ht="12.75">
      <c r="A50" s="376"/>
      <c r="B50" s="260" t="s">
        <v>307</v>
      </c>
      <c r="C50" s="362"/>
      <c r="D50" s="357"/>
      <c r="E50" s="261" t="s">
        <v>308</v>
      </c>
      <c r="F50" s="262">
        <v>0.01944</v>
      </c>
      <c r="G50" s="264">
        <v>41479</v>
      </c>
      <c r="H50" s="264">
        <v>40071</v>
      </c>
      <c r="I50" s="264">
        <v>35122</v>
      </c>
      <c r="J50" s="264">
        <v>30527</v>
      </c>
      <c r="K50" s="264">
        <v>25222</v>
      </c>
      <c r="L50" s="264">
        <v>20273</v>
      </c>
      <c r="M50" s="264">
        <v>15323</v>
      </c>
      <c r="N50" s="264">
        <v>10404</v>
      </c>
      <c r="O50" s="264">
        <v>5454</v>
      </c>
      <c r="P50" s="264">
        <v>759</v>
      </c>
      <c r="Q50" s="264"/>
      <c r="R50" s="264"/>
      <c r="S50" s="265"/>
      <c r="T50" s="265"/>
      <c r="U50" s="266"/>
      <c r="V50" s="267">
        <f t="shared" si="2"/>
        <v>224634</v>
      </c>
    </row>
    <row r="51" spans="1:22" ht="12.75" customHeight="1">
      <c r="A51" s="375">
        <v>23</v>
      </c>
      <c r="B51" s="254" t="s">
        <v>276</v>
      </c>
      <c r="C51" s="361" t="s">
        <v>534</v>
      </c>
      <c r="D51" s="356">
        <v>45000</v>
      </c>
      <c r="E51" s="255" t="s">
        <v>306</v>
      </c>
      <c r="F51" s="254" t="s">
        <v>273</v>
      </c>
      <c r="G51" s="256">
        <v>4188</v>
      </c>
      <c r="H51" s="256">
        <v>4188</v>
      </c>
      <c r="I51" s="256">
        <v>4188</v>
      </c>
      <c r="J51" s="256">
        <v>4188</v>
      </c>
      <c r="K51" s="256">
        <v>4188</v>
      </c>
      <c r="L51" s="256">
        <v>4188</v>
      </c>
      <c r="M51" s="256">
        <v>4188</v>
      </c>
      <c r="N51" s="256">
        <v>4188</v>
      </c>
      <c r="O51" s="256">
        <v>4188</v>
      </c>
      <c r="P51" s="256">
        <v>1026</v>
      </c>
      <c r="Q51" s="256"/>
      <c r="R51" s="256"/>
      <c r="S51" s="257"/>
      <c r="T51" s="257"/>
      <c r="U51" s="258"/>
      <c r="V51" s="259">
        <f t="shared" si="2"/>
        <v>38718</v>
      </c>
    </row>
    <row r="52" spans="1:22" ht="12.75">
      <c r="A52" s="376"/>
      <c r="B52" s="260" t="s">
        <v>309</v>
      </c>
      <c r="C52" s="362"/>
      <c r="D52" s="357"/>
      <c r="E52" s="261" t="s">
        <v>308</v>
      </c>
      <c r="F52" s="262">
        <v>0.01944</v>
      </c>
      <c r="G52" s="264">
        <v>771</v>
      </c>
      <c r="H52" s="264">
        <v>745</v>
      </c>
      <c r="I52" s="264">
        <v>653</v>
      </c>
      <c r="J52" s="264">
        <v>562</v>
      </c>
      <c r="K52" s="264">
        <v>469</v>
      </c>
      <c r="L52" s="264">
        <v>377</v>
      </c>
      <c r="M52" s="264">
        <v>285</v>
      </c>
      <c r="N52" s="264">
        <v>193</v>
      </c>
      <c r="O52" s="264">
        <v>101</v>
      </c>
      <c r="P52" s="264">
        <v>14</v>
      </c>
      <c r="Q52" s="264"/>
      <c r="R52" s="264"/>
      <c r="S52" s="265"/>
      <c r="T52" s="265"/>
      <c r="U52" s="266"/>
      <c r="V52" s="267">
        <f t="shared" si="2"/>
        <v>4170</v>
      </c>
    </row>
    <row r="53" spans="1:22" ht="12.75" customHeight="1">
      <c r="A53" s="375">
        <v>24</v>
      </c>
      <c r="B53" s="254" t="s">
        <v>276</v>
      </c>
      <c r="C53" s="361" t="s">
        <v>535</v>
      </c>
      <c r="D53" s="356">
        <v>3707590</v>
      </c>
      <c r="E53" s="255" t="s">
        <v>306</v>
      </c>
      <c r="F53" s="254" t="s">
        <v>273</v>
      </c>
      <c r="G53" s="256">
        <v>344896</v>
      </c>
      <c r="H53" s="256">
        <v>344896</v>
      </c>
      <c r="I53" s="256">
        <v>344896</v>
      </c>
      <c r="J53" s="256">
        <v>344896</v>
      </c>
      <c r="K53" s="256">
        <v>344896</v>
      </c>
      <c r="L53" s="256">
        <v>344896</v>
      </c>
      <c r="M53" s="256">
        <v>344896</v>
      </c>
      <c r="N53" s="256">
        <v>344896</v>
      </c>
      <c r="O53" s="256">
        <v>344896</v>
      </c>
      <c r="P53" s="256">
        <v>86182</v>
      </c>
      <c r="Q53" s="256"/>
      <c r="R53" s="256"/>
      <c r="S53" s="257"/>
      <c r="T53" s="257"/>
      <c r="U53" s="258"/>
      <c r="V53" s="259">
        <f t="shared" si="2"/>
        <v>3190246</v>
      </c>
    </row>
    <row r="54" spans="1:22" ht="12.75">
      <c r="A54" s="376"/>
      <c r="B54" s="260" t="s">
        <v>310</v>
      </c>
      <c r="C54" s="362"/>
      <c r="D54" s="357"/>
      <c r="E54" s="261" t="s">
        <v>308</v>
      </c>
      <c r="F54" s="262">
        <v>0.01944</v>
      </c>
      <c r="G54" s="264">
        <v>63541</v>
      </c>
      <c r="H54" s="264">
        <v>61376</v>
      </c>
      <c r="I54" s="264">
        <v>53794</v>
      </c>
      <c r="J54" s="264">
        <v>46343</v>
      </c>
      <c r="K54" s="264">
        <v>38632</v>
      </c>
      <c r="L54" s="264">
        <v>31051</v>
      </c>
      <c r="M54" s="264">
        <v>23470</v>
      </c>
      <c r="N54" s="264">
        <v>15935</v>
      </c>
      <c r="O54" s="264">
        <v>8354</v>
      </c>
      <c r="P54" s="264">
        <v>1163</v>
      </c>
      <c r="Q54" s="264"/>
      <c r="R54" s="264"/>
      <c r="S54" s="265"/>
      <c r="T54" s="265"/>
      <c r="U54" s="266"/>
      <c r="V54" s="267">
        <f t="shared" si="2"/>
        <v>343659</v>
      </c>
    </row>
    <row r="55" spans="1:22" ht="12.75" customHeight="1">
      <c r="A55" s="375">
        <v>25</v>
      </c>
      <c r="B55" s="254" t="s">
        <v>276</v>
      </c>
      <c r="C55" s="361" t="s">
        <v>536</v>
      </c>
      <c r="D55" s="356">
        <v>4100810</v>
      </c>
      <c r="E55" s="255" t="s">
        <v>306</v>
      </c>
      <c r="F55" s="254" t="s">
        <v>273</v>
      </c>
      <c r="G55" s="256">
        <v>381472</v>
      </c>
      <c r="H55" s="256">
        <v>381472</v>
      </c>
      <c r="I55" s="256">
        <v>381472</v>
      </c>
      <c r="J55" s="256">
        <v>381472</v>
      </c>
      <c r="K55" s="256">
        <v>381472</v>
      </c>
      <c r="L55" s="256">
        <v>381472</v>
      </c>
      <c r="M55" s="256">
        <v>381472</v>
      </c>
      <c r="N55" s="256">
        <v>381472</v>
      </c>
      <c r="O55" s="256">
        <v>381472</v>
      </c>
      <c r="P55" s="256">
        <v>95354</v>
      </c>
      <c r="Q55" s="256"/>
      <c r="R55" s="256"/>
      <c r="S55" s="257"/>
      <c r="T55" s="257"/>
      <c r="U55" s="258"/>
      <c r="V55" s="259">
        <f t="shared" si="2"/>
        <v>3528602</v>
      </c>
    </row>
    <row r="56" spans="1:22" ht="12.75">
      <c r="A56" s="376"/>
      <c r="B56" s="260" t="s">
        <v>311</v>
      </c>
      <c r="C56" s="362"/>
      <c r="D56" s="357"/>
      <c r="E56" s="261" t="s">
        <v>308</v>
      </c>
      <c r="F56" s="262">
        <v>0.01944</v>
      </c>
      <c r="G56" s="264">
        <v>70280</v>
      </c>
      <c r="H56" s="264">
        <v>72805</v>
      </c>
      <c r="I56" s="264">
        <v>59500</v>
      </c>
      <c r="J56" s="264">
        <v>59667</v>
      </c>
      <c r="K56" s="264">
        <v>51115</v>
      </c>
      <c r="L56" s="264">
        <v>34344</v>
      </c>
      <c r="M56" s="264">
        <v>25959</v>
      </c>
      <c r="N56" s="264">
        <v>17626</v>
      </c>
      <c r="O56" s="264">
        <v>9241</v>
      </c>
      <c r="P56" s="264">
        <v>1108</v>
      </c>
      <c r="Q56" s="264"/>
      <c r="R56" s="264"/>
      <c r="S56" s="265"/>
      <c r="T56" s="265"/>
      <c r="U56" s="266"/>
      <c r="V56" s="267">
        <f t="shared" si="2"/>
        <v>401645</v>
      </c>
    </row>
    <row r="57" spans="1:22" ht="12.75" customHeight="1">
      <c r="A57" s="375">
        <v>26</v>
      </c>
      <c r="B57" s="254" t="s">
        <v>276</v>
      </c>
      <c r="C57" s="361" t="s">
        <v>312</v>
      </c>
      <c r="D57" s="356">
        <v>300000</v>
      </c>
      <c r="E57" s="255" t="s">
        <v>306</v>
      </c>
      <c r="F57" s="254" t="s">
        <v>273</v>
      </c>
      <c r="G57" s="256">
        <v>27908</v>
      </c>
      <c r="H57" s="256">
        <v>27908</v>
      </c>
      <c r="I57" s="256">
        <v>27908</v>
      </c>
      <c r="J57" s="256">
        <v>27908</v>
      </c>
      <c r="K57" s="256">
        <v>27908</v>
      </c>
      <c r="L57" s="256">
        <v>27908</v>
      </c>
      <c r="M57" s="256">
        <v>27908</v>
      </c>
      <c r="N57" s="256">
        <v>27908</v>
      </c>
      <c r="O57" s="256">
        <v>27908</v>
      </c>
      <c r="P57" s="256">
        <v>6966</v>
      </c>
      <c r="Q57" s="256"/>
      <c r="R57" s="256"/>
      <c r="S57" s="257"/>
      <c r="T57" s="257"/>
      <c r="U57" s="258"/>
      <c r="V57" s="259">
        <f t="shared" si="2"/>
        <v>258138</v>
      </c>
    </row>
    <row r="58" spans="1:22" ht="12.75">
      <c r="A58" s="376"/>
      <c r="B58" s="260" t="s">
        <v>313</v>
      </c>
      <c r="C58" s="362"/>
      <c r="D58" s="357"/>
      <c r="E58" s="261" t="s">
        <v>308</v>
      </c>
      <c r="F58" s="262">
        <v>0.01944</v>
      </c>
      <c r="G58" s="264">
        <v>5141</v>
      </c>
      <c r="H58" s="264">
        <v>4966</v>
      </c>
      <c r="I58" s="264">
        <v>4353</v>
      </c>
      <c r="J58" s="264">
        <v>3750</v>
      </c>
      <c r="K58" s="264">
        <v>3126</v>
      </c>
      <c r="L58" s="264">
        <v>2512</v>
      </c>
      <c r="M58" s="264">
        <v>1899</v>
      </c>
      <c r="N58" s="264">
        <v>1289</v>
      </c>
      <c r="O58" s="264">
        <v>676</v>
      </c>
      <c r="P58" s="264">
        <v>282</v>
      </c>
      <c r="Q58" s="265"/>
      <c r="R58" s="265"/>
      <c r="S58" s="265"/>
      <c r="T58" s="265"/>
      <c r="U58" s="266"/>
      <c r="V58" s="267">
        <f t="shared" si="2"/>
        <v>27994</v>
      </c>
    </row>
    <row r="59" spans="1:22" ht="12.75" customHeight="1">
      <c r="A59" s="375">
        <v>27</v>
      </c>
      <c r="B59" s="254" t="s">
        <v>276</v>
      </c>
      <c r="C59" s="361" t="s">
        <v>537</v>
      </c>
      <c r="D59" s="356">
        <v>202945</v>
      </c>
      <c r="E59" s="255" t="s">
        <v>314</v>
      </c>
      <c r="F59" s="254" t="s">
        <v>273</v>
      </c>
      <c r="G59" s="256">
        <v>17648</v>
      </c>
      <c r="H59" s="256">
        <v>17648</v>
      </c>
      <c r="I59" s="256">
        <v>17648</v>
      </c>
      <c r="J59" s="256">
        <v>17648</v>
      </c>
      <c r="K59" s="256">
        <v>17648</v>
      </c>
      <c r="L59" s="256">
        <v>17648</v>
      </c>
      <c r="M59" s="256">
        <v>17648</v>
      </c>
      <c r="N59" s="256">
        <v>17648</v>
      </c>
      <c r="O59" s="256">
        <v>17648</v>
      </c>
      <c r="P59" s="256">
        <v>8817</v>
      </c>
      <c r="Q59" s="257"/>
      <c r="R59" s="257"/>
      <c r="S59" s="257"/>
      <c r="T59" s="257"/>
      <c r="U59" s="258"/>
      <c r="V59" s="259">
        <f t="shared" si="2"/>
        <v>167649</v>
      </c>
    </row>
    <row r="60" spans="1:22" ht="12.75">
      <c r="A60" s="376"/>
      <c r="B60" s="260" t="s">
        <v>315</v>
      </c>
      <c r="C60" s="362"/>
      <c r="D60" s="357"/>
      <c r="E60" s="261" t="s">
        <v>316</v>
      </c>
      <c r="F60" s="262">
        <v>0.01944</v>
      </c>
      <c r="G60" s="264">
        <v>3338</v>
      </c>
      <c r="H60" s="264">
        <v>3237</v>
      </c>
      <c r="I60" s="264">
        <v>2849</v>
      </c>
      <c r="J60" s="264">
        <v>2468</v>
      </c>
      <c r="K60" s="264">
        <v>2074</v>
      </c>
      <c r="L60" s="264">
        <v>1686</v>
      </c>
      <c r="M60" s="264">
        <v>1298</v>
      </c>
      <c r="N60" s="264">
        <v>913</v>
      </c>
      <c r="O60" s="264">
        <v>525</v>
      </c>
      <c r="P60" s="264">
        <v>138</v>
      </c>
      <c r="Q60" s="265"/>
      <c r="R60" s="265"/>
      <c r="S60" s="265"/>
      <c r="T60" s="265"/>
      <c r="U60" s="266"/>
      <c r="V60" s="267">
        <f t="shared" si="2"/>
        <v>18526</v>
      </c>
    </row>
    <row r="61" spans="1:22" ht="12.75" customHeight="1">
      <c r="A61" s="375">
        <v>28</v>
      </c>
      <c r="B61" s="254" t="s">
        <v>276</v>
      </c>
      <c r="C61" s="361" t="s">
        <v>538</v>
      </c>
      <c r="D61" s="356">
        <v>219310</v>
      </c>
      <c r="E61" s="255" t="s">
        <v>314</v>
      </c>
      <c r="F61" s="254" t="s">
        <v>273</v>
      </c>
      <c r="G61" s="256">
        <v>19940</v>
      </c>
      <c r="H61" s="256">
        <v>19940</v>
      </c>
      <c r="I61" s="256">
        <v>19940</v>
      </c>
      <c r="J61" s="256">
        <v>19940</v>
      </c>
      <c r="K61" s="256">
        <v>19940</v>
      </c>
      <c r="L61" s="256">
        <v>19940</v>
      </c>
      <c r="M61" s="256">
        <v>19940</v>
      </c>
      <c r="N61" s="256">
        <v>19940</v>
      </c>
      <c r="O61" s="256">
        <v>19940</v>
      </c>
      <c r="P61" s="256">
        <v>9940</v>
      </c>
      <c r="Q61" s="257"/>
      <c r="R61" s="257"/>
      <c r="S61" s="257"/>
      <c r="T61" s="257"/>
      <c r="U61" s="258"/>
      <c r="V61" s="259">
        <f t="shared" si="2"/>
        <v>189400</v>
      </c>
    </row>
    <row r="62" spans="1:22" ht="12.75">
      <c r="A62" s="376"/>
      <c r="B62" s="260" t="s">
        <v>317</v>
      </c>
      <c r="C62" s="362"/>
      <c r="D62" s="357"/>
      <c r="E62" s="261" t="s">
        <v>316</v>
      </c>
      <c r="F62" s="262">
        <v>0.01944</v>
      </c>
      <c r="G62" s="264">
        <v>3771</v>
      </c>
      <c r="H62" s="264">
        <v>3657</v>
      </c>
      <c r="I62" s="264">
        <v>3219</v>
      </c>
      <c r="J62" s="264">
        <v>2789</v>
      </c>
      <c r="K62" s="264">
        <v>2342</v>
      </c>
      <c r="L62" s="264">
        <v>1904</v>
      </c>
      <c r="M62" s="264">
        <v>1466</v>
      </c>
      <c r="N62" s="264">
        <v>1031</v>
      </c>
      <c r="O62" s="264">
        <v>593</v>
      </c>
      <c r="P62" s="264">
        <v>155</v>
      </c>
      <c r="Q62" s="265"/>
      <c r="R62" s="265"/>
      <c r="S62" s="265"/>
      <c r="T62" s="265"/>
      <c r="U62" s="266"/>
      <c r="V62" s="267">
        <f t="shared" si="2"/>
        <v>20927</v>
      </c>
    </row>
    <row r="63" spans="1:22" ht="12.75">
      <c r="A63" s="375">
        <v>29</v>
      </c>
      <c r="B63" s="254" t="s">
        <v>276</v>
      </c>
      <c r="C63" s="361" t="s">
        <v>539</v>
      </c>
      <c r="D63" s="356">
        <v>70958</v>
      </c>
      <c r="E63" s="255" t="s">
        <v>318</v>
      </c>
      <c r="F63" s="254" t="s">
        <v>273</v>
      </c>
      <c r="G63" s="256">
        <v>6452</v>
      </c>
      <c r="H63" s="256">
        <v>6452</v>
      </c>
      <c r="I63" s="256">
        <v>6452</v>
      </c>
      <c r="J63" s="256">
        <v>6452</v>
      </c>
      <c r="K63" s="256">
        <v>6452</v>
      </c>
      <c r="L63" s="256">
        <v>6452</v>
      </c>
      <c r="M63" s="256">
        <v>6452</v>
      </c>
      <c r="N63" s="256">
        <v>6452</v>
      </c>
      <c r="O63" s="256">
        <v>6452</v>
      </c>
      <c r="P63" s="256">
        <v>3212</v>
      </c>
      <c r="Q63" s="257"/>
      <c r="R63" s="257"/>
      <c r="S63" s="257"/>
      <c r="T63" s="257"/>
      <c r="U63" s="258"/>
      <c r="V63" s="259">
        <f t="shared" si="2"/>
        <v>61280</v>
      </c>
    </row>
    <row r="64" spans="1:22" ht="12.75">
      <c r="A64" s="376"/>
      <c r="B64" s="260" t="s">
        <v>319</v>
      </c>
      <c r="C64" s="362"/>
      <c r="D64" s="357"/>
      <c r="E64" s="261" t="s">
        <v>316</v>
      </c>
      <c r="F64" s="262">
        <v>0.01944</v>
      </c>
      <c r="G64" s="264">
        <v>1220</v>
      </c>
      <c r="H64" s="264">
        <v>1183</v>
      </c>
      <c r="I64" s="264">
        <v>1042</v>
      </c>
      <c r="J64" s="264">
        <v>902</v>
      </c>
      <c r="K64" s="264">
        <v>758</v>
      </c>
      <c r="L64" s="264">
        <v>616</v>
      </c>
      <c r="M64" s="264">
        <v>474</v>
      </c>
      <c r="N64" s="264">
        <v>333</v>
      </c>
      <c r="O64" s="264">
        <v>192</v>
      </c>
      <c r="P64" s="264">
        <v>176</v>
      </c>
      <c r="Q64" s="265"/>
      <c r="R64" s="265"/>
      <c r="S64" s="265"/>
      <c r="T64" s="265"/>
      <c r="U64" s="266"/>
      <c r="V64" s="267">
        <f t="shared" si="2"/>
        <v>6896</v>
      </c>
    </row>
    <row r="65" spans="1:22" ht="12.75" customHeight="1">
      <c r="A65" s="375">
        <v>30</v>
      </c>
      <c r="B65" s="254" t="s">
        <v>276</v>
      </c>
      <c r="C65" s="361" t="s">
        <v>540</v>
      </c>
      <c r="D65" s="356">
        <v>710715</v>
      </c>
      <c r="E65" s="255" t="s">
        <v>318</v>
      </c>
      <c r="F65" s="254" t="s">
        <v>273</v>
      </c>
      <c r="G65" s="256">
        <v>63176</v>
      </c>
      <c r="H65" s="256">
        <v>63176</v>
      </c>
      <c r="I65" s="256">
        <v>63176</v>
      </c>
      <c r="J65" s="256">
        <v>63176</v>
      </c>
      <c r="K65" s="256">
        <v>63176</v>
      </c>
      <c r="L65" s="256">
        <v>63176</v>
      </c>
      <c r="M65" s="256">
        <v>63176</v>
      </c>
      <c r="N65" s="256">
        <v>63176</v>
      </c>
      <c r="O65" s="256">
        <v>63176</v>
      </c>
      <c r="P65" s="256">
        <v>47367</v>
      </c>
      <c r="Q65" s="257"/>
      <c r="R65" s="257"/>
      <c r="S65" s="257"/>
      <c r="T65" s="257"/>
      <c r="U65" s="258"/>
      <c r="V65" s="259">
        <f t="shared" si="2"/>
        <v>615951</v>
      </c>
    </row>
    <row r="66" spans="1:22" ht="12.75">
      <c r="A66" s="376"/>
      <c r="B66" s="260" t="s">
        <v>320</v>
      </c>
      <c r="C66" s="362"/>
      <c r="D66" s="357"/>
      <c r="E66" s="261" t="s">
        <v>321</v>
      </c>
      <c r="F66" s="262">
        <v>0.01944</v>
      </c>
      <c r="G66" s="264">
        <v>12262</v>
      </c>
      <c r="H66" s="264">
        <v>11937</v>
      </c>
      <c r="I66" s="264">
        <v>10548</v>
      </c>
      <c r="J66" s="264">
        <v>9185</v>
      </c>
      <c r="K66" s="264">
        <v>7771</v>
      </c>
      <c r="L66" s="264">
        <v>6382</v>
      </c>
      <c r="M66" s="264">
        <v>4993</v>
      </c>
      <c r="N66" s="264">
        <v>3615</v>
      </c>
      <c r="O66" s="264">
        <v>2228</v>
      </c>
      <c r="P66" s="264">
        <v>793</v>
      </c>
      <c r="Q66" s="265"/>
      <c r="R66" s="265"/>
      <c r="S66" s="265"/>
      <c r="T66" s="265"/>
      <c r="U66" s="266"/>
      <c r="V66" s="267">
        <f t="shared" si="2"/>
        <v>69714</v>
      </c>
    </row>
    <row r="67" spans="1:22" ht="12.75" customHeight="1">
      <c r="A67" s="375">
        <v>31</v>
      </c>
      <c r="B67" s="254" t="s">
        <v>276</v>
      </c>
      <c r="C67" s="361" t="s">
        <v>322</v>
      </c>
      <c r="D67" s="356">
        <v>158356</v>
      </c>
      <c r="E67" s="255" t="s">
        <v>323</v>
      </c>
      <c r="F67" s="254" t="s">
        <v>273</v>
      </c>
      <c r="G67" s="275">
        <v>14396</v>
      </c>
      <c r="H67" s="275">
        <v>14396</v>
      </c>
      <c r="I67" s="275">
        <v>14396</v>
      </c>
      <c r="J67" s="275">
        <v>14396</v>
      </c>
      <c r="K67" s="275">
        <v>14396</v>
      </c>
      <c r="L67" s="275">
        <v>14396</v>
      </c>
      <c r="M67" s="275">
        <v>14396</v>
      </c>
      <c r="N67" s="275">
        <v>14396</v>
      </c>
      <c r="O67" s="275">
        <v>14396</v>
      </c>
      <c r="P67" s="275">
        <v>14396</v>
      </c>
      <c r="Q67" s="276">
        <v>7198</v>
      </c>
      <c r="R67" s="276"/>
      <c r="S67" s="276"/>
      <c r="T67" s="276"/>
      <c r="U67" s="277"/>
      <c r="V67" s="259">
        <f t="shared" si="2"/>
        <v>151158</v>
      </c>
    </row>
    <row r="68" spans="1:22" ht="12.75">
      <c r="A68" s="376"/>
      <c r="B68" s="260" t="s">
        <v>436</v>
      </c>
      <c r="C68" s="367"/>
      <c r="D68" s="357"/>
      <c r="E68" s="261" t="s">
        <v>324</v>
      </c>
      <c r="F68" s="262">
        <v>0.01981</v>
      </c>
      <c r="G68" s="264">
        <v>3064</v>
      </c>
      <c r="H68" s="264">
        <v>2957</v>
      </c>
      <c r="I68" s="265">
        <v>2641</v>
      </c>
      <c r="J68" s="265">
        <v>2331</v>
      </c>
      <c r="K68" s="265">
        <v>2008</v>
      </c>
      <c r="L68" s="265">
        <v>1692</v>
      </c>
      <c r="M68" s="265">
        <v>1375</v>
      </c>
      <c r="N68" s="265">
        <v>1062</v>
      </c>
      <c r="O68" s="265">
        <v>742</v>
      </c>
      <c r="P68" s="265">
        <v>426</v>
      </c>
      <c r="Q68" s="265">
        <v>142</v>
      </c>
      <c r="R68" s="265"/>
      <c r="S68" s="265"/>
      <c r="T68" s="265"/>
      <c r="U68" s="266"/>
      <c r="V68" s="267">
        <f t="shared" si="2"/>
        <v>18440</v>
      </c>
    </row>
    <row r="69" spans="1:22" ht="12.75" customHeight="1">
      <c r="A69" s="375">
        <v>32</v>
      </c>
      <c r="B69" s="254" t="s">
        <v>276</v>
      </c>
      <c r="C69" s="361" t="s">
        <v>325</v>
      </c>
      <c r="D69" s="356">
        <v>49625</v>
      </c>
      <c r="E69" s="255" t="s">
        <v>323</v>
      </c>
      <c r="F69" s="254" t="s">
        <v>273</v>
      </c>
      <c r="G69" s="275">
        <v>4512</v>
      </c>
      <c r="H69" s="275">
        <v>4512</v>
      </c>
      <c r="I69" s="276">
        <v>4512</v>
      </c>
      <c r="J69" s="276">
        <v>4512</v>
      </c>
      <c r="K69" s="276">
        <v>4512</v>
      </c>
      <c r="L69" s="276">
        <v>4512</v>
      </c>
      <c r="M69" s="276">
        <v>4512</v>
      </c>
      <c r="N69" s="276">
        <v>4512</v>
      </c>
      <c r="O69" s="276">
        <v>4512</v>
      </c>
      <c r="P69" s="276">
        <v>4512</v>
      </c>
      <c r="Q69" s="276">
        <v>2249</v>
      </c>
      <c r="R69" s="276"/>
      <c r="S69" s="276"/>
      <c r="T69" s="276"/>
      <c r="U69" s="277"/>
      <c r="V69" s="259">
        <f t="shared" si="2"/>
        <v>47369</v>
      </c>
    </row>
    <row r="70" spans="1:22" ht="12.75">
      <c r="A70" s="376"/>
      <c r="B70" s="260" t="s">
        <v>437</v>
      </c>
      <c r="C70" s="362"/>
      <c r="D70" s="357"/>
      <c r="E70" s="261" t="s">
        <v>324</v>
      </c>
      <c r="F70" s="262">
        <v>0.01981</v>
      </c>
      <c r="G70" s="264">
        <v>960</v>
      </c>
      <c r="H70" s="264">
        <v>847</v>
      </c>
      <c r="I70" s="265">
        <v>756</v>
      </c>
      <c r="J70" s="265">
        <v>667</v>
      </c>
      <c r="K70" s="265">
        <v>575</v>
      </c>
      <c r="L70" s="265">
        <v>484</v>
      </c>
      <c r="M70" s="265">
        <v>394</v>
      </c>
      <c r="N70" s="265">
        <v>304</v>
      </c>
      <c r="O70" s="265">
        <v>212</v>
      </c>
      <c r="P70" s="265">
        <v>122</v>
      </c>
      <c r="Q70" s="265">
        <v>40</v>
      </c>
      <c r="R70" s="265"/>
      <c r="S70" s="265"/>
      <c r="T70" s="265"/>
      <c r="U70" s="266"/>
      <c r="V70" s="267">
        <f t="shared" si="2"/>
        <v>5361</v>
      </c>
    </row>
    <row r="71" spans="1:22" ht="12.75" customHeight="1">
      <c r="A71" s="375">
        <v>33</v>
      </c>
      <c r="B71" s="254" t="s">
        <v>276</v>
      </c>
      <c r="C71" s="361" t="s">
        <v>326</v>
      </c>
      <c r="D71" s="356">
        <v>177900</v>
      </c>
      <c r="E71" s="255" t="s">
        <v>327</v>
      </c>
      <c r="F71" s="254" t="s">
        <v>273</v>
      </c>
      <c r="G71" s="275">
        <v>16176</v>
      </c>
      <c r="H71" s="275">
        <v>16176</v>
      </c>
      <c r="I71" s="276">
        <v>16176</v>
      </c>
      <c r="J71" s="276">
        <v>16176</v>
      </c>
      <c r="K71" s="276">
        <v>16176</v>
      </c>
      <c r="L71" s="276">
        <v>16176</v>
      </c>
      <c r="M71" s="276">
        <v>16176</v>
      </c>
      <c r="N71" s="276">
        <v>16176</v>
      </c>
      <c r="O71" s="276">
        <v>16176</v>
      </c>
      <c r="P71" s="276">
        <v>16176</v>
      </c>
      <c r="Q71" s="276">
        <v>8052</v>
      </c>
      <c r="R71" s="276"/>
      <c r="S71" s="276"/>
      <c r="T71" s="276"/>
      <c r="U71" s="277"/>
      <c r="V71" s="259">
        <f aca="true" t="shared" si="3" ref="V71:V102">SUM(G71:S71)</f>
        <v>169812</v>
      </c>
    </row>
    <row r="72" spans="1:22" ht="12.75">
      <c r="A72" s="376"/>
      <c r="B72" s="260" t="s">
        <v>438</v>
      </c>
      <c r="C72" s="362"/>
      <c r="D72" s="357"/>
      <c r="E72" s="261" t="s">
        <v>328</v>
      </c>
      <c r="F72" s="262">
        <v>0.01981</v>
      </c>
      <c r="G72" s="264">
        <v>3436</v>
      </c>
      <c r="H72" s="264">
        <v>3036</v>
      </c>
      <c r="I72" s="265">
        <v>2711</v>
      </c>
      <c r="J72" s="265">
        <v>2393</v>
      </c>
      <c r="K72" s="265">
        <v>2061</v>
      </c>
      <c r="L72" s="265">
        <v>1736</v>
      </c>
      <c r="M72" s="265">
        <v>1411</v>
      </c>
      <c r="N72" s="265">
        <v>1089</v>
      </c>
      <c r="O72" s="265">
        <v>761</v>
      </c>
      <c r="P72" s="265">
        <v>437</v>
      </c>
      <c r="Q72" s="265">
        <v>110</v>
      </c>
      <c r="R72" s="265"/>
      <c r="S72" s="265"/>
      <c r="T72" s="265"/>
      <c r="U72" s="266"/>
      <c r="V72" s="267">
        <f t="shared" si="3"/>
        <v>19181</v>
      </c>
    </row>
    <row r="73" spans="1:22" ht="12.75" customHeight="1">
      <c r="A73" s="375">
        <v>34</v>
      </c>
      <c r="B73" s="254" t="s">
        <v>276</v>
      </c>
      <c r="C73" s="361" t="s">
        <v>329</v>
      </c>
      <c r="D73" s="356">
        <v>730745.11</v>
      </c>
      <c r="E73" s="255" t="s">
        <v>330</v>
      </c>
      <c r="F73" s="254" t="s">
        <v>273</v>
      </c>
      <c r="G73" s="275">
        <v>64956</v>
      </c>
      <c r="H73" s="275">
        <v>64956</v>
      </c>
      <c r="I73" s="275">
        <v>64956</v>
      </c>
      <c r="J73" s="275">
        <v>64956</v>
      </c>
      <c r="K73" s="275">
        <v>64956</v>
      </c>
      <c r="L73" s="275">
        <v>64956</v>
      </c>
      <c r="M73" s="275">
        <v>64956</v>
      </c>
      <c r="N73" s="275">
        <v>64956</v>
      </c>
      <c r="O73" s="275">
        <v>64956</v>
      </c>
      <c r="P73" s="275">
        <v>64956</v>
      </c>
      <c r="Q73" s="275">
        <v>48707</v>
      </c>
      <c r="R73" s="275"/>
      <c r="S73" s="275"/>
      <c r="T73" s="275"/>
      <c r="U73" s="278"/>
      <c r="V73" s="259">
        <f t="shared" si="3"/>
        <v>698267</v>
      </c>
    </row>
    <row r="74" spans="1:22" ht="12.75">
      <c r="A74" s="376"/>
      <c r="B74" s="260" t="s">
        <v>439</v>
      </c>
      <c r="C74" s="367"/>
      <c r="D74" s="357"/>
      <c r="E74" s="261" t="s">
        <v>331</v>
      </c>
      <c r="F74" s="262">
        <v>0.01981</v>
      </c>
      <c r="G74" s="264">
        <v>14128</v>
      </c>
      <c r="H74" s="264">
        <v>12519</v>
      </c>
      <c r="I74" s="264">
        <v>11214</v>
      </c>
      <c r="J74" s="264">
        <v>9937</v>
      </c>
      <c r="K74" s="264">
        <v>8605</v>
      </c>
      <c r="L74" s="264">
        <v>7300</v>
      </c>
      <c r="M74" s="264">
        <v>5996</v>
      </c>
      <c r="N74" s="264">
        <v>4705</v>
      </c>
      <c r="O74" s="264">
        <v>3387</v>
      </c>
      <c r="P74" s="264">
        <v>2082</v>
      </c>
      <c r="Q74" s="264">
        <v>958</v>
      </c>
      <c r="R74" s="264"/>
      <c r="S74" s="264"/>
      <c r="T74" s="264"/>
      <c r="U74" s="279"/>
      <c r="V74" s="267">
        <f t="shared" si="3"/>
        <v>80831</v>
      </c>
    </row>
    <row r="75" spans="1:22" ht="12.75" customHeight="1">
      <c r="A75" s="375">
        <v>35</v>
      </c>
      <c r="B75" s="254" t="s">
        <v>276</v>
      </c>
      <c r="C75" s="361" t="s">
        <v>332</v>
      </c>
      <c r="D75" s="356">
        <v>248390.15</v>
      </c>
      <c r="E75" s="255" t="s">
        <v>333</v>
      </c>
      <c r="F75" s="254" t="s">
        <v>273</v>
      </c>
      <c r="G75" s="275">
        <v>22080</v>
      </c>
      <c r="H75" s="275">
        <v>22080</v>
      </c>
      <c r="I75" s="275">
        <v>22080</v>
      </c>
      <c r="J75" s="275">
        <v>22080</v>
      </c>
      <c r="K75" s="275">
        <v>22080</v>
      </c>
      <c r="L75" s="275">
        <v>22080</v>
      </c>
      <c r="M75" s="275">
        <v>22080</v>
      </c>
      <c r="N75" s="275">
        <v>22080</v>
      </c>
      <c r="O75" s="275">
        <v>22080</v>
      </c>
      <c r="P75" s="275">
        <v>22080</v>
      </c>
      <c r="Q75" s="275">
        <v>16550</v>
      </c>
      <c r="R75" s="275"/>
      <c r="S75" s="275"/>
      <c r="T75" s="275"/>
      <c r="U75" s="278"/>
      <c r="V75" s="259">
        <f t="shared" si="3"/>
        <v>237350</v>
      </c>
    </row>
    <row r="76" spans="1:22" ht="12.75">
      <c r="A76" s="376"/>
      <c r="B76" s="260" t="s">
        <v>440</v>
      </c>
      <c r="C76" s="362"/>
      <c r="D76" s="357"/>
      <c r="E76" s="261" t="s">
        <v>331</v>
      </c>
      <c r="F76" s="262">
        <v>0.01981</v>
      </c>
      <c r="G76" s="264">
        <v>4810</v>
      </c>
      <c r="H76" s="264">
        <v>4255</v>
      </c>
      <c r="I76" s="264">
        <v>3812</v>
      </c>
      <c r="J76" s="264">
        <v>3378</v>
      </c>
      <c r="K76" s="264">
        <v>2925</v>
      </c>
      <c r="L76" s="264">
        <v>2481</v>
      </c>
      <c r="M76" s="264">
        <v>2038</v>
      </c>
      <c r="N76" s="264">
        <v>1599</v>
      </c>
      <c r="O76" s="264">
        <v>1151</v>
      </c>
      <c r="P76" s="264">
        <v>708</v>
      </c>
      <c r="Q76" s="264">
        <v>239</v>
      </c>
      <c r="R76" s="264"/>
      <c r="S76" s="264"/>
      <c r="T76" s="264"/>
      <c r="U76" s="279"/>
      <c r="V76" s="267">
        <f t="shared" si="3"/>
        <v>27396</v>
      </c>
    </row>
    <row r="77" spans="1:22" ht="12.75" customHeight="1">
      <c r="A77" s="375">
        <v>36</v>
      </c>
      <c r="B77" s="254" t="s">
        <v>276</v>
      </c>
      <c r="C77" s="361" t="s">
        <v>334</v>
      </c>
      <c r="D77" s="356">
        <v>332448</v>
      </c>
      <c r="E77" s="255" t="s">
        <v>333</v>
      </c>
      <c r="F77" s="254" t="s">
        <v>273</v>
      </c>
      <c r="G77" s="275">
        <v>29552</v>
      </c>
      <c r="H77" s="275">
        <v>29552</v>
      </c>
      <c r="I77" s="275">
        <v>29552</v>
      </c>
      <c r="J77" s="275">
        <v>29552</v>
      </c>
      <c r="K77" s="275">
        <v>29552</v>
      </c>
      <c r="L77" s="275">
        <v>29552</v>
      </c>
      <c r="M77" s="275">
        <v>29552</v>
      </c>
      <c r="N77" s="275">
        <v>29552</v>
      </c>
      <c r="O77" s="275">
        <v>29552</v>
      </c>
      <c r="P77" s="275">
        <v>29552</v>
      </c>
      <c r="Q77" s="275">
        <v>22152</v>
      </c>
      <c r="R77" s="275"/>
      <c r="S77" s="275"/>
      <c r="T77" s="275"/>
      <c r="U77" s="278"/>
      <c r="V77" s="259">
        <f t="shared" si="3"/>
        <v>317672</v>
      </c>
    </row>
    <row r="78" spans="1:22" ht="12.75">
      <c r="A78" s="376"/>
      <c r="B78" s="260" t="s">
        <v>441</v>
      </c>
      <c r="C78" s="362"/>
      <c r="D78" s="357"/>
      <c r="E78" s="261" t="s">
        <v>324</v>
      </c>
      <c r="F78" s="262">
        <v>0.01981</v>
      </c>
      <c r="G78" s="264">
        <v>6428</v>
      </c>
      <c r="H78" s="264">
        <v>5695</v>
      </c>
      <c r="I78" s="264">
        <v>5102</v>
      </c>
      <c r="J78" s="264">
        <v>4521</v>
      </c>
      <c r="K78" s="264">
        <v>3915</v>
      </c>
      <c r="L78" s="264">
        <v>3321</v>
      </c>
      <c r="M78" s="264">
        <v>2728</v>
      </c>
      <c r="N78" s="264">
        <v>2140</v>
      </c>
      <c r="O78" s="264">
        <v>1541</v>
      </c>
      <c r="P78" s="264">
        <v>947</v>
      </c>
      <c r="Q78" s="264">
        <v>436</v>
      </c>
      <c r="R78" s="264"/>
      <c r="S78" s="264"/>
      <c r="T78" s="264"/>
      <c r="U78" s="279"/>
      <c r="V78" s="267">
        <f t="shared" si="3"/>
        <v>36774</v>
      </c>
    </row>
    <row r="79" spans="1:22" ht="12.75">
      <c r="A79" s="375">
        <v>37</v>
      </c>
      <c r="B79" s="254" t="s">
        <v>276</v>
      </c>
      <c r="C79" s="361" t="s">
        <v>541</v>
      </c>
      <c r="D79" s="356">
        <v>296782.62</v>
      </c>
      <c r="E79" s="255" t="s">
        <v>442</v>
      </c>
      <c r="F79" s="254" t="s">
        <v>273</v>
      </c>
      <c r="G79" s="275">
        <v>26984</v>
      </c>
      <c r="H79" s="275">
        <v>26984</v>
      </c>
      <c r="I79" s="275">
        <v>26984</v>
      </c>
      <c r="J79" s="275">
        <v>26984</v>
      </c>
      <c r="K79" s="275">
        <v>26984</v>
      </c>
      <c r="L79" s="275">
        <v>26984</v>
      </c>
      <c r="M79" s="275">
        <v>26984</v>
      </c>
      <c r="N79" s="275">
        <v>26984</v>
      </c>
      <c r="O79" s="275">
        <v>26984</v>
      </c>
      <c r="P79" s="275">
        <v>26984</v>
      </c>
      <c r="Q79" s="275">
        <v>13451</v>
      </c>
      <c r="R79" s="275"/>
      <c r="S79" s="275"/>
      <c r="T79" s="275"/>
      <c r="U79" s="278"/>
      <c r="V79" s="259">
        <f t="shared" si="3"/>
        <v>283291</v>
      </c>
    </row>
    <row r="80" spans="1:22" ht="12.75">
      <c r="A80" s="376"/>
      <c r="B80" s="260" t="s">
        <v>443</v>
      </c>
      <c r="C80" s="362"/>
      <c r="D80" s="357"/>
      <c r="E80" s="261" t="s">
        <v>324</v>
      </c>
      <c r="F80" s="262">
        <v>0.01981</v>
      </c>
      <c r="G80" s="264">
        <v>5733</v>
      </c>
      <c r="H80" s="264">
        <v>5064</v>
      </c>
      <c r="I80" s="264">
        <v>4522</v>
      </c>
      <c r="J80" s="264">
        <v>3992</v>
      </c>
      <c r="K80" s="264">
        <v>3439</v>
      </c>
      <c r="L80" s="264">
        <v>2897</v>
      </c>
      <c r="M80" s="264">
        <v>2355</v>
      </c>
      <c r="N80" s="264">
        <v>1818</v>
      </c>
      <c r="O80" s="264">
        <v>1271</v>
      </c>
      <c r="P80" s="264">
        <v>729</v>
      </c>
      <c r="Q80" s="264">
        <v>242</v>
      </c>
      <c r="R80" s="264"/>
      <c r="S80" s="264"/>
      <c r="T80" s="264"/>
      <c r="U80" s="279"/>
      <c r="V80" s="267">
        <f t="shared" si="3"/>
        <v>32062</v>
      </c>
    </row>
    <row r="81" spans="1:22" ht="12.75" customHeight="1">
      <c r="A81" s="375">
        <v>38</v>
      </c>
      <c r="B81" s="254" t="s">
        <v>276</v>
      </c>
      <c r="C81" s="361" t="s">
        <v>335</v>
      </c>
      <c r="D81" s="356">
        <v>264681</v>
      </c>
      <c r="E81" s="255" t="s">
        <v>444</v>
      </c>
      <c r="F81" s="254" t="s">
        <v>273</v>
      </c>
      <c r="G81" s="275">
        <v>24064</v>
      </c>
      <c r="H81" s="275">
        <v>24064</v>
      </c>
      <c r="I81" s="275">
        <v>24064</v>
      </c>
      <c r="J81" s="275">
        <v>24064</v>
      </c>
      <c r="K81" s="275">
        <v>24064</v>
      </c>
      <c r="L81" s="275">
        <v>24064</v>
      </c>
      <c r="M81" s="275">
        <v>24064</v>
      </c>
      <c r="N81" s="275">
        <v>24064</v>
      </c>
      <c r="O81" s="275">
        <v>24064</v>
      </c>
      <c r="P81" s="275">
        <v>24064</v>
      </c>
      <c r="Q81" s="275">
        <v>12009</v>
      </c>
      <c r="R81" s="275"/>
      <c r="S81" s="275"/>
      <c r="T81" s="275"/>
      <c r="U81" s="278"/>
      <c r="V81" s="259">
        <f t="shared" si="3"/>
        <v>252649</v>
      </c>
    </row>
    <row r="82" spans="1:22" ht="12.75">
      <c r="A82" s="376"/>
      <c r="B82" s="260" t="s">
        <v>445</v>
      </c>
      <c r="C82" s="362"/>
      <c r="D82" s="357"/>
      <c r="E82" s="261" t="s">
        <v>324</v>
      </c>
      <c r="F82" s="262">
        <v>0.01981</v>
      </c>
      <c r="G82" s="264">
        <v>5113</v>
      </c>
      <c r="H82" s="264">
        <v>4517</v>
      </c>
      <c r="I82" s="264">
        <v>4033</v>
      </c>
      <c r="J82" s="264">
        <v>3560</v>
      </c>
      <c r="K82" s="264">
        <v>3067</v>
      </c>
      <c r="L82" s="264">
        <v>2583</v>
      </c>
      <c r="M82" s="264">
        <v>2100</v>
      </c>
      <c r="N82" s="264">
        <v>1621</v>
      </c>
      <c r="O82" s="264">
        <v>1133</v>
      </c>
      <c r="P82" s="264">
        <v>650</v>
      </c>
      <c r="Q82" s="264">
        <v>216</v>
      </c>
      <c r="R82" s="264"/>
      <c r="S82" s="264"/>
      <c r="T82" s="264"/>
      <c r="U82" s="279"/>
      <c r="V82" s="267">
        <f t="shared" si="3"/>
        <v>28593</v>
      </c>
    </row>
    <row r="83" spans="1:22" ht="12.75" customHeight="1">
      <c r="A83" s="375">
        <v>39</v>
      </c>
      <c r="B83" s="254" t="s">
        <v>276</v>
      </c>
      <c r="C83" s="361" t="s">
        <v>326</v>
      </c>
      <c r="D83" s="356">
        <v>175848</v>
      </c>
      <c r="E83" s="255" t="s">
        <v>446</v>
      </c>
      <c r="F83" s="254" t="s">
        <v>273</v>
      </c>
      <c r="G83" s="275">
        <v>15632</v>
      </c>
      <c r="H83" s="275">
        <v>15632</v>
      </c>
      <c r="I83" s="275">
        <v>15632</v>
      </c>
      <c r="J83" s="275">
        <v>15632</v>
      </c>
      <c r="K83" s="275">
        <v>15632</v>
      </c>
      <c r="L83" s="275">
        <v>15632</v>
      </c>
      <c r="M83" s="275">
        <v>15632</v>
      </c>
      <c r="N83" s="275">
        <v>15632</v>
      </c>
      <c r="O83" s="275">
        <v>15632</v>
      </c>
      <c r="P83" s="275">
        <v>15632</v>
      </c>
      <c r="Q83" s="275">
        <v>15632</v>
      </c>
      <c r="R83" s="275">
        <v>3896</v>
      </c>
      <c r="S83" s="275"/>
      <c r="T83" s="275"/>
      <c r="U83" s="278"/>
      <c r="V83" s="259">
        <f t="shared" si="3"/>
        <v>175848</v>
      </c>
    </row>
    <row r="84" spans="1:22" ht="12.75">
      <c r="A84" s="376"/>
      <c r="B84" s="260" t="s">
        <v>336</v>
      </c>
      <c r="C84" s="362"/>
      <c r="D84" s="357"/>
      <c r="E84" s="261" t="s">
        <v>337</v>
      </c>
      <c r="F84" s="262">
        <v>0.01833</v>
      </c>
      <c r="G84" s="264">
        <v>3208</v>
      </c>
      <c r="H84" s="264">
        <v>3383</v>
      </c>
      <c r="I84" s="264">
        <v>3039</v>
      </c>
      <c r="J84" s="264">
        <v>2703</v>
      </c>
      <c r="K84" s="264">
        <v>2352</v>
      </c>
      <c r="L84" s="264">
        <v>2008</v>
      </c>
      <c r="M84" s="264">
        <v>1665</v>
      </c>
      <c r="N84" s="264">
        <v>1325</v>
      </c>
      <c r="O84" s="264">
        <v>978</v>
      </c>
      <c r="P84" s="264">
        <v>634</v>
      </c>
      <c r="Q84" s="264">
        <v>309</v>
      </c>
      <c r="R84" s="264">
        <v>19</v>
      </c>
      <c r="S84" s="264"/>
      <c r="T84" s="264"/>
      <c r="U84" s="279"/>
      <c r="V84" s="267">
        <f t="shared" si="3"/>
        <v>21623</v>
      </c>
    </row>
    <row r="85" spans="1:22" ht="12.75" customHeight="1">
      <c r="A85" s="375">
        <v>40</v>
      </c>
      <c r="B85" s="254" t="s">
        <v>276</v>
      </c>
      <c r="C85" s="361" t="s">
        <v>322</v>
      </c>
      <c r="D85" s="356">
        <v>53600.07</v>
      </c>
      <c r="E85" s="255" t="s">
        <v>446</v>
      </c>
      <c r="F85" s="254" t="s">
        <v>273</v>
      </c>
      <c r="G85" s="275">
        <v>4768</v>
      </c>
      <c r="H85" s="275">
        <v>4768</v>
      </c>
      <c r="I85" s="275">
        <v>4768</v>
      </c>
      <c r="J85" s="275">
        <v>4768</v>
      </c>
      <c r="K85" s="275">
        <v>4768</v>
      </c>
      <c r="L85" s="275">
        <v>4768</v>
      </c>
      <c r="M85" s="275">
        <v>4768</v>
      </c>
      <c r="N85" s="275">
        <v>4768</v>
      </c>
      <c r="O85" s="275">
        <v>4768</v>
      </c>
      <c r="P85" s="275">
        <v>4768</v>
      </c>
      <c r="Q85" s="275">
        <v>4768</v>
      </c>
      <c r="R85" s="275">
        <v>1152</v>
      </c>
      <c r="S85" s="275"/>
      <c r="T85" s="275"/>
      <c r="U85" s="278"/>
      <c r="V85" s="259">
        <f t="shared" si="3"/>
        <v>53600</v>
      </c>
    </row>
    <row r="86" spans="1:22" ht="12.75">
      <c r="A86" s="376"/>
      <c r="B86" s="260" t="s">
        <v>338</v>
      </c>
      <c r="C86" s="362"/>
      <c r="D86" s="357"/>
      <c r="E86" s="261" t="s">
        <v>337</v>
      </c>
      <c r="F86" s="262">
        <v>0.01833</v>
      </c>
      <c r="G86" s="264">
        <v>1034</v>
      </c>
      <c r="H86" s="264">
        <v>950</v>
      </c>
      <c r="I86" s="264">
        <v>853</v>
      </c>
      <c r="J86" s="264">
        <v>759</v>
      </c>
      <c r="K86" s="264">
        <v>660</v>
      </c>
      <c r="L86" s="264">
        <v>564</v>
      </c>
      <c r="M86" s="264">
        <v>467</v>
      </c>
      <c r="N86" s="264">
        <v>372</v>
      </c>
      <c r="O86" s="264">
        <v>274</v>
      </c>
      <c r="P86" s="264">
        <v>177</v>
      </c>
      <c r="Q86" s="264">
        <v>86</v>
      </c>
      <c r="R86" s="264">
        <v>5</v>
      </c>
      <c r="S86" s="264"/>
      <c r="T86" s="264"/>
      <c r="U86" s="279"/>
      <c r="V86" s="267">
        <f t="shared" si="3"/>
        <v>6201</v>
      </c>
    </row>
    <row r="87" spans="1:22" ht="12.75" customHeight="1">
      <c r="A87" s="375">
        <v>41</v>
      </c>
      <c r="B87" s="254" t="s">
        <v>276</v>
      </c>
      <c r="C87" s="361" t="s">
        <v>339</v>
      </c>
      <c r="D87" s="356">
        <v>111485.21</v>
      </c>
      <c r="E87" s="255" t="s">
        <v>447</v>
      </c>
      <c r="F87" s="254" t="s">
        <v>273</v>
      </c>
      <c r="G87" s="275">
        <v>9912</v>
      </c>
      <c r="H87" s="275">
        <v>9912</v>
      </c>
      <c r="I87" s="275">
        <v>9912</v>
      </c>
      <c r="J87" s="275">
        <v>9912</v>
      </c>
      <c r="K87" s="275">
        <v>9912</v>
      </c>
      <c r="L87" s="275">
        <v>9912</v>
      </c>
      <c r="M87" s="275">
        <v>9912</v>
      </c>
      <c r="N87" s="275">
        <v>9912</v>
      </c>
      <c r="O87" s="275">
        <v>9912</v>
      </c>
      <c r="P87" s="275">
        <v>9912</v>
      </c>
      <c r="Q87" s="275">
        <v>9912</v>
      </c>
      <c r="R87" s="275">
        <v>2453</v>
      </c>
      <c r="S87" s="275"/>
      <c r="T87" s="275"/>
      <c r="U87" s="278"/>
      <c r="V87" s="259">
        <f t="shared" si="3"/>
        <v>111485</v>
      </c>
    </row>
    <row r="88" spans="1:22" ht="12.75">
      <c r="A88" s="376"/>
      <c r="B88" s="260" t="s">
        <v>340</v>
      </c>
      <c r="C88" s="362"/>
      <c r="D88" s="357"/>
      <c r="E88" s="261" t="s">
        <v>337</v>
      </c>
      <c r="F88" s="262">
        <v>0.02163</v>
      </c>
      <c r="G88" s="264">
        <v>1565</v>
      </c>
      <c r="H88" s="264">
        <v>1159</v>
      </c>
      <c r="I88" s="264">
        <v>1047</v>
      </c>
      <c r="J88" s="264">
        <v>935</v>
      </c>
      <c r="K88" s="264">
        <v>817</v>
      </c>
      <c r="L88" s="264">
        <v>702</v>
      </c>
      <c r="M88" s="264">
        <v>587</v>
      </c>
      <c r="N88" s="264">
        <v>473</v>
      </c>
      <c r="O88" s="264">
        <v>356</v>
      </c>
      <c r="P88" s="264">
        <v>241</v>
      </c>
      <c r="Q88" s="264">
        <v>126</v>
      </c>
      <c r="R88" s="264">
        <v>20</v>
      </c>
      <c r="S88" s="264"/>
      <c r="T88" s="264"/>
      <c r="U88" s="279"/>
      <c r="V88" s="267">
        <f t="shared" si="3"/>
        <v>8028</v>
      </c>
    </row>
    <row r="89" spans="1:22" ht="12.75" customHeight="1">
      <c r="A89" s="375">
        <v>42</v>
      </c>
      <c r="B89" s="254" t="s">
        <v>276</v>
      </c>
      <c r="C89" s="361" t="s">
        <v>341</v>
      </c>
      <c r="D89" s="356">
        <v>75851.12</v>
      </c>
      <c r="E89" s="255" t="s">
        <v>448</v>
      </c>
      <c r="F89" s="254" t="s">
        <v>273</v>
      </c>
      <c r="G89" s="275">
        <v>6744</v>
      </c>
      <c r="H89" s="275">
        <v>6744</v>
      </c>
      <c r="I89" s="275">
        <v>6744</v>
      </c>
      <c r="J89" s="275">
        <v>6744</v>
      </c>
      <c r="K89" s="275">
        <v>6744</v>
      </c>
      <c r="L89" s="275">
        <v>6744</v>
      </c>
      <c r="M89" s="275">
        <v>6744</v>
      </c>
      <c r="N89" s="275">
        <v>6744</v>
      </c>
      <c r="O89" s="275">
        <v>6744</v>
      </c>
      <c r="P89" s="275">
        <v>6744</v>
      </c>
      <c r="Q89" s="275">
        <v>6744</v>
      </c>
      <c r="R89" s="275">
        <v>1667</v>
      </c>
      <c r="S89" s="275"/>
      <c r="T89" s="275"/>
      <c r="U89" s="278"/>
      <c r="V89" s="268">
        <f t="shared" si="3"/>
        <v>75851</v>
      </c>
    </row>
    <row r="90" spans="1:22" ht="12.75">
      <c r="A90" s="376"/>
      <c r="B90" s="260" t="s">
        <v>342</v>
      </c>
      <c r="C90" s="362"/>
      <c r="D90" s="357"/>
      <c r="E90" s="261" t="s">
        <v>337</v>
      </c>
      <c r="F90" s="262">
        <v>0.02163</v>
      </c>
      <c r="G90" s="264">
        <v>1065</v>
      </c>
      <c r="H90" s="264">
        <v>791</v>
      </c>
      <c r="I90" s="264">
        <v>712</v>
      </c>
      <c r="J90" s="264">
        <v>636</v>
      </c>
      <c r="K90" s="264">
        <v>556</v>
      </c>
      <c r="L90" s="264">
        <v>477</v>
      </c>
      <c r="M90" s="264">
        <v>399</v>
      </c>
      <c r="N90" s="264">
        <v>322</v>
      </c>
      <c r="O90" s="264">
        <v>242</v>
      </c>
      <c r="P90" s="264">
        <v>164</v>
      </c>
      <c r="Q90" s="264">
        <v>85</v>
      </c>
      <c r="R90" s="264">
        <v>13</v>
      </c>
      <c r="S90" s="264"/>
      <c r="T90" s="264"/>
      <c r="U90" s="279"/>
      <c r="V90" s="272">
        <f t="shared" si="3"/>
        <v>5462</v>
      </c>
    </row>
    <row r="91" spans="1:22" ht="12.75" customHeight="1">
      <c r="A91" s="375">
        <v>43</v>
      </c>
      <c r="B91" s="254" t="s">
        <v>276</v>
      </c>
      <c r="C91" s="361" t="s">
        <v>343</v>
      </c>
      <c r="D91" s="356">
        <v>208654</v>
      </c>
      <c r="E91" s="273" t="s">
        <v>344</v>
      </c>
      <c r="F91" s="254" t="s">
        <v>273</v>
      </c>
      <c r="G91" s="275">
        <v>18548</v>
      </c>
      <c r="H91" s="275">
        <v>18548</v>
      </c>
      <c r="I91" s="275">
        <v>18548</v>
      </c>
      <c r="J91" s="275">
        <v>18548</v>
      </c>
      <c r="K91" s="275">
        <v>18548</v>
      </c>
      <c r="L91" s="275">
        <v>18548</v>
      </c>
      <c r="M91" s="275">
        <v>18548</v>
      </c>
      <c r="N91" s="275">
        <v>18548</v>
      </c>
      <c r="O91" s="275">
        <v>18548</v>
      </c>
      <c r="P91" s="275">
        <v>18548</v>
      </c>
      <c r="Q91" s="275">
        <v>18548</v>
      </c>
      <c r="R91" s="275">
        <v>4626</v>
      </c>
      <c r="S91" s="275"/>
      <c r="T91" s="275"/>
      <c r="U91" s="278"/>
      <c r="V91" s="268">
        <f t="shared" si="3"/>
        <v>208654</v>
      </c>
    </row>
    <row r="92" spans="1:22" ht="12.75">
      <c r="A92" s="376"/>
      <c r="B92" s="260" t="s">
        <v>345</v>
      </c>
      <c r="C92" s="362"/>
      <c r="D92" s="357"/>
      <c r="E92" s="274">
        <v>45371</v>
      </c>
      <c r="F92" s="262">
        <v>0.02163</v>
      </c>
      <c r="G92" s="264">
        <v>2678</v>
      </c>
      <c r="H92" s="264">
        <v>2847</v>
      </c>
      <c r="I92" s="264">
        <v>2565</v>
      </c>
      <c r="J92" s="264">
        <v>2290</v>
      </c>
      <c r="K92" s="264">
        <v>2001</v>
      </c>
      <c r="L92" s="264">
        <v>1719</v>
      </c>
      <c r="M92" s="264">
        <v>1437</v>
      </c>
      <c r="N92" s="264">
        <v>1158</v>
      </c>
      <c r="O92" s="264">
        <v>873</v>
      </c>
      <c r="P92" s="264">
        <v>590</v>
      </c>
      <c r="Q92" s="264">
        <v>308</v>
      </c>
      <c r="R92" s="264">
        <v>49</v>
      </c>
      <c r="S92" s="264"/>
      <c r="T92" s="264"/>
      <c r="U92" s="279"/>
      <c r="V92" s="272">
        <f t="shared" si="3"/>
        <v>18515</v>
      </c>
    </row>
    <row r="93" spans="1:22" ht="12.75" customHeight="1">
      <c r="A93" s="375">
        <v>44</v>
      </c>
      <c r="B93" s="254" t="s">
        <v>276</v>
      </c>
      <c r="C93" s="361" t="s">
        <v>541</v>
      </c>
      <c r="D93" s="356">
        <v>259406.35</v>
      </c>
      <c r="E93" s="273" t="s">
        <v>346</v>
      </c>
      <c r="F93" s="254" t="s">
        <v>273</v>
      </c>
      <c r="G93" s="275">
        <v>23060</v>
      </c>
      <c r="H93" s="275">
        <v>23060</v>
      </c>
      <c r="I93" s="275">
        <v>23060</v>
      </c>
      <c r="J93" s="275">
        <v>23060</v>
      </c>
      <c r="K93" s="275">
        <v>23060</v>
      </c>
      <c r="L93" s="275">
        <v>23060</v>
      </c>
      <c r="M93" s="275">
        <v>23060</v>
      </c>
      <c r="N93" s="275">
        <v>23060</v>
      </c>
      <c r="O93" s="275">
        <v>23060</v>
      </c>
      <c r="P93" s="275">
        <v>23060</v>
      </c>
      <c r="Q93" s="275">
        <v>23060</v>
      </c>
      <c r="R93" s="275">
        <v>5746</v>
      </c>
      <c r="S93" s="275"/>
      <c r="T93" s="275"/>
      <c r="U93" s="278"/>
      <c r="V93" s="268">
        <f t="shared" si="3"/>
        <v>259406</v>
      </c>
    </row>
    <row r="94" spans="1:22" ht="12.75">
      <c r="A94" s="376"/>
      <c r="B94" s="260" t="s">
        <v>347</v>
      </c>
      <c r="C94" s="362"/>
      <c r="D94" s="357"/>
      <c r="E94" s="274">
        <v>45371</v>
      </c>
      <c r="F94" s="262">
        <v>0.02163</v>
      </c>
      <c r="G94" s="264">
        <v>3642</v>
      </c>
      <c r="H94" s="264">
        <v>3540</v>
      </c>
      <c r="I94" s="264">
        <v>3189</v>
      </c>
      <c r="J94" s="264">
        <v>2846</v>
      </c>
      <c r="K94" s="264">
        <v>2488</v>
      </c>
      <c r="L94" s="264">
        <v>2137</v>
      </c>
      <c r="M94" s="264">
        <v>1786</v>
      </c>
      <c r="N94" s="264">
        <v>1440</v>
      </c>
      <c r="O94" s="264">
        <v>1085</v>
      </c>
      <c r="P94" s="264">
        <v>734</v>
      </c>
      <c r="Q94" s="264">
        <v>383</v>
      </c>
      <c r="R94" s="264">
        <v>60</v>
      </c>
      <c r="S94" s="264"/>
      <c r="T94" s="264"/>
      <c r="U94" s="279"/>
      <c r="V94" s="272">
        <f t="shared" si="3"/>
        <v>23330</v>
      </c>
    </row>
    <row r="95" spans="1:22" ht="12.75" customHeight="1">
      <c r="A95" s="375">
        <v>45</v>
      </c>
      <c r="B95" s="254" t="s">
        <v>276</v>
      </c>
      <c r="C95" s="361" t="s">
        <v>348</v>
      </c>
      <c r="D95" s="356">
        <v>394132.16</v>
      </c>
      <c r="E95" s="273" t="s">
        <v>346</v>
      </c>
      <c r="F95" s="254" t="s">
        <v>273</v>
      </c>
      <c r="G95" s="275">
        <v>35036</v>
      </c>
      <c r="H95" s="275">
        <v>35036</v>
      </c>
      <c r="I95" s="275">
        <v>35036</v>
      </c>
      <c r="J95" s="275">
        <v>35036</v>
      </c>
      <c r="K95" s="275">
        <v>35036</v>
      </c>
      <c r="L95" s="275">
        <v>35036</v>
      </c>
      <c r="M95" s="275">
        <v>35036</v>
      </c>
      <c r="N95" s="275">
        <v>35036</v>
      </c>
      <c r="O95" s="275">
        <v>35036</v>
      </c>
      <c r="P95" s="275">
        <v>35036</v>
      </c>
      <c r="Q95" s="275">
        <v>35036</v>
      </c>
      <c r="R95" s="275">
        <v>8736</v>
      </c>
      <c r="S95" s="275"/>
      <c r="T95" s="275"/>
      <c r="U95" s="278"/>
      <c r="V95" s="268">
        <f t="shared" si="3"/>
        <v>394132</v>
      </c>
    </row>
    <row r="96" spans="1:22" ht="12.75">
      <c r="A96" s="376"/>
      <c r="B96" s="260" t="s">
        <v>349</v>
      </c>
      <c r="C96" s="362"/>
      <c r="D96" s="357"/>
      <c r="E96" s="274">
        <v>45371</v>
      </c>
      <c r="F96" s="262">
        <v>0.02163</v>
      </c>
      <c r="G96" s="264">
        <v>5553</v>
      </c>
      <c r="H96" s="264">
        <v>5378</v>
      </c>
      <c r="I96" s="264">
        <v>4845</v>
      </c>
      <c r="J96" s="264">
        <v>4325</v>
      </c>
      <c r="K96" s="264">
        <v>3780</v>
      </c>
      <c r="L96" s="264">
        <v>3247</v>
      </c>
      <c r="M96" s="264">
        <v>2714</v>
      </c>
      <c r="N96" s="264">
        <v>2188</v>
      </c>
      <c r="O96" s="264">
        <v>1648</v>
      </c>
      <c r="P96" s="264">
        <v>1115</v>
      </c>
      <c r="Q96" s="264">
        <v>582</v>
      </c>
      <c r="R96" s="264">
        <v>85</v>
      </c>
      <c r="S96" s="264"/>
      <c r="T96" s="264"/>
      <c r="U96" s="279"/>
      <c r="V96" s="272">
        <f t="shared" si="3"/>
        <v>35460</v>
      </c>
    </row>
    <row r="97" spans="1:22" ht="12.75" customHeight="1">
      <c r="A97" s="375">
        <v>46</v>
      </c>
      <c r="B97" s="254" t="s">
        <v>276</v>
      </c>
      <c r="C97" s="361" t="s">
        <v>542</v>
      </c>
      <c r="D97" s="356">
        <v>24919.95</v>
      </c>
      <c r="E97" s="255" t="s">
        <v>449</v>
      </c>
      <c r="F97" s="254" t="s">
        <v>273</v>
      </c>
      <c r="G97" s="275">
        <v>1662</v>
      </c>
      <c r="H97" s="275">
        <v>2216</v>
      </c>
      <c r="I97" s="275">
        <v>2216</v>
      </c>
      <c r="J97" s="275">
        <v>2216</v>
      </c>
      <c r="K97" s="275">
        <v>2216</v>
      </c>
      <c r="L97" s="275">
        <v>2216</v>
      </c>
      <c r="M97" s="275">
        <v>2216</v>
      </c>
      <c r="N97" s="275">
        <v>2216</v>
      </c>
      <c r="O97" s="275">
        <v>2216</v>
      </c>
      <c r="P97" s="275">
        <v>2216</v>
      </c>
      <c r="Q97" s="275">
        <v>2216</v>
      </c>
      <c r="R97" s="275">
        <v>1098</v>
      </c>
      <c r="S97" s="275"/>
      <c r="T97" s="275"/>
      <c r="U97" s="278"/>
      <c r="V97" s="268">
        <f t="shared" si="3"/>
        <v>24920</v>
      </c>
    </row>
    <row r="98" spans="1:22" ht="12.75">
      <c r="A98" s="376"/>
      <c r="B98" s="260" t="s">
        <v>350</v>
      </c>
      <c r="C98" s="362"/>
      <c r="D98" s="357"/>
      <c r="E98" s="261" t="s">
        <v>450</v>
      </c>
      <c r="F98" s="262">
        <v>0.02168</v>
      </c>
      <c r="G98" s="264">
        <v>306</v>
      </c>
      <c r="H98" s="264">
        <v>348</v>
      </c>
      <c r="I98" s="264">
        <v>315</v>
      </c>
      <c r="J98" s="264">
        <v>282</v>
      </c>
      <c r="K98" s="264">
        <v>247</v>
      </c>
      <c r="L98" s="264">
        <v>214</v>
      </c>
      <c r="M98" s="264">
        <v>180</v>
      </c>
      <c r="N98" s="264">
        <v>147</v>
      </c>
      <c r="O98" s="264">
        <v>113</v>
      </c>
      <c r="P98" s="264">
        <v>79</v>
      </c>
      <c r="Q98" s="264">
        <v>45</v>
      </c>
      <c r="R98" s="264">
        <v>8</v>
      </c>
      <c r="S98" s="264"/>
      <c r="T98" s="264"/>
      <c r="U98" s="279"/>
      <c r="V98" s="272">
        <f t="shared" si="3"/>
        <v>2284</v>
      </c>
    </row>
    <row r="99" spans="1:22" ht="12.75" customHeight="1">
      <c r="A99" s="375">
        <v>47</v>
      </c>
      <c r="B99" s="254" t="s">
        <v>276</v>
      </c>
      <c r="C99" s="361" t="s">
        <v>351</v>
      </c>
      <c r="D99" s="356">
        <v>220000</v>
      </c>
      <c r="E99" s="255" t="s">
        <v>449</v>
      </c>
      <c r="F99" s="280" t="s">
        <v>273</v>
      </c>
      <c r="G99" s="275">
        <v>9778</v>
      </c>
      <c r="H99" s="275">
        <v>19556</v>
      </c>
      <c r="I99" s="275">
        <v>19556</v>
      </c>
      <c r="J99" s="275">
        <v>19556</v>
      </c>
      <c r="K99" s="275">
        <v>19556</v>
      </c>
      <c r="L99" s="275">
        <v>19556</v>
      </c>
      <c r="M99" s="275">
        <v>19556</v>
      </c>
      <c r="N99" s="275">
        <v>19556</v>
      </c>
      <c r="O99" s="275">
        <v>19556</v>
      </c>
      <c r="P99" s="275">
        <v>19556</v>
      </c>
      <c r="Q99" s="275">
        <v>19556</v>
      </c>
      <c r="R99" s="275">
        <v>14662</v>
      </c>
      <c r="S99" s="275"/>
      <c r="T99" s="275"/>
      <c r="U99" s="278"/>
      <c r="V99" s="268">
        <f t="shared" si="3"/>
        <v>220000</v>
      </c>
    </row>
    <row r="100" spans="1:22" ht="12.75">
      <c r="A100" s="376"/>
      <c r="B100" s="260" t="s">
        <v>451</v>
      </c>
      <c r="C100" s="362"/>
      <c r="D100" s="357"/>
      <c r="E100" s="261" t="s">
        <v>452</v>
      </c>
      <c r="F100" s="262">
        <v>0.01981</v>
      </c>
      <c r="G100" s="264">
        <v>4031</v>
      </c>
      <c r="H100" s="264">
        <v>3692</v>
      </c>
      <c r="I100" s="264">
        <v>3345</v>
      </c>
      <c r="J100" s="264">
        <v>3007</v>
      </c>
      <c r="K100" s="264">
        <v>2650</v>
      </c>
      <c r="L100" s="264">
        <v>2302</v>
      </c>
      <c r="M100" s="264">
        <v>1954</v>
      </c>
      <c r="N100" s="264">
        <v>1612</v>
      </c>
      <c r="O100" s="264">
        <v>1259</v>
      </c>
      <c r="P100" s="264">
        <v>912</v>
      </c>
      <c r="Q100" s="264">
        <v>564</v>
      </c>
      <c r="R100" s="264">
        <v>194</v>
      </c>
      <c r="S100" s="264"/>
      <c r="T100" s="264"/>
      <c r="U100" s="279"/>
      <c r="V100" s="272">
        <f t="shared" si="3"/>
        <v>25522</v>
      </c>
    </row>
    <row r="101" spans="1:22" ht="12.75">
      <c r="A101" s="375">
        <v>48</v>
      </c>
      <c r="B101" s="254" t="s">
        <v>276</v>
      </c>
      <c r="C101" s="361" t="s">
        <v>348</v>
      </c>
      <c r="D101" s="356">
        <v>2322072.75</v>
      </c>
      <c r="E101" s="255" t="s">
        <v>453</v>
      </c>
      <c r="F101" s="280" t="s">
        <v>273</v>
      </c>
      <c r="G101" s="275">
        <v>103204</v>
      </c>
      <c r="H101" s="275">
        <v>206408</v>
      </c>
      <c r="I101" s="275">
        <v>206408</v>
      </c>
      <c r="J101" s="275">
        <v>206408</v>
      </c>
      <c r="K101" s="275">
        <v>206408</v>
      </c>
      <c r="L101" s="275">
        <v>206408</v>
      </c>
      <c r="M101" s="275">
        <v>206408</v>
      </c>
      <c r="N101" s="275">
        <v>206408</v>
      </c>
      <c r="O101" s="275">
        <v>206408</v>
      </c>
      <c r="P101" s="275">
        <v>206408</v>
      </c>
      <c r="Q101" s="275">
        <v>206408</v>
      </c>
      <c r="R101" s="275">
        <v>154789</v>
      </c>
      <c r="S101" s="275"/>
      <c r="T101" s="275"/>
      <c r="U101" s="278"/>
      <c r="V101" s="268">
        <f t="shared" si="3"/>
        <v>2322073</v>
      </c>
    </row>
    <row r="102" spans="1:22" ht="12.75">
      <c r="A102" s="376"/>
      <c r="B102" s="260" t="s">
        <v>454</v>
      </c>
      <c r="C102" s="362"/>
      <c r="D102" s="357"/>
      <c r="E102" s="261" t="s">
        <v>452</v>
      </c>
      <c r="F102" s="262">
        <v>0.01981</v>
      </c>
      <c r="G102" s="264">
        <v>46639</v>
      </c>
      <c r="H102" s="264">
        <v>43990</v>
      </c>
      <c r="I102" s="264">
        <v>39782</v>
      </c>
      <c r="J102" s="264">
        <v>35735</v>
      </c>
      <c r="K102" s="264">
        <v>31490</v>
      </c>
      <c r="L102" s="264">
        <v>27344</v>
      </c>
      <c r="M102" s="264">
        <v>23199</v>
      </c>
      <c r="N102" s="264">
        <v>19107</v>
      </c>
      <c r="O102" s="264">
        <v>14907</v>
      </c>
      <c r="P102" s="264">
        <v>10762</v>
      </c>
      <c r="Q102" s="264">
        <v>6616</v>
      </c>
      <c r="R102" s="264">
        <v>2237</v>
      </c>
      <c r="S102" s="264"/>
      <c r="T102" s="264"/>
      <c r="U102" s="279"/>
      <c r="V102" s="272">
        <f t="shared" si="3"/>
        <v>301808</v>
      </c>
    </row>
    <row r="103" spans="1:22" ht="12.75" customHeight="1">
      <c r="A103" s="375">
        <v>49</v>
      </c>
      <c r="B103" s="254" t="s">
        <v>276</v>
      </c>
      <c r="C103" s="361" t="s">
        <v>325</v>
      </c>
      <c r="D103" s="356">
        <v>81147</v>
      </c>
      <c r="E103" s="358" t="s">
        <v>352</v>
      </c>
      <c r="F103" s="280" t="s">
        <v>273</v>
      </c>
      <c r="G103" s="275">
        <v>7216</v>
      </c>
      <c r="H103" s="275">
        <v>7216</v>
      </c>
      <c r="I103" s="275">
        <v>7216</v>
      </c>
      <c r="J103" s="275">
        <v>7216</v>
      </c>
      <c r="K103" s="275">
        <v>7216</v>
      </c>
      <c r="L103" s="275">
        <v>7216</v>
      </c>
      <c r="M103" s="275">
        <v>7216</v>
      </c>
      <c r="N103" s="275">
        <v>7216</v>
      </c>
      <c r="O103" s="275">
        <v>7216</v>
      </c>
      <c r="P103" s="275">
        <v>7216</v>
      </c>
      <c r="Q103" s="275">
        <v>7216</v>
      </c>
      <c r="R103" s="275">
        <v>1771</v>
      </c>
      <c r="S103" s="275"/>
      <c r="T103" s="275"/>
      <c r="U103" s="278"/>
      <c r="V103" s="268">
        <f aca="true" t="shared" si="4" ref="V103:V124">SUM(G103:S103)</f>
        <v>81147</v>
      </c>
    </row>
    <row r="104" spans="1:22" ht="12.75">
      <c r="A104" s="376"/>
      <c r="B104" s="260" t="s">
        <v>353</v>
      </c>
      <c r="C104" s="362"/>
      <c r="D104" s="357"/>
      <c r="E104" s="359"/>
      <c r="F104" s="262">
        <v>0.02074</v>
      </c>
      <c r="G104" s="264">
        <v>925</v>
      </c>
      <c r="H104" s="264">
        <v>846</v>
      </c>
      <c r="I104" s="264">
        <v>762</v>
      </c>
      <c r="J104" s="264">
        <v>680</v>
      </c>
      <c r="K104" s="264">
        <v>594</v>
      </c>
      <c r="L104" s="264">
        <v>511</v>
      </c>
      <c r="M104" s="264">
        <v>427</v>
      </c>
      <c r="N104" s="264">
        <v>344</v>
      </c>
      <c r="O104" s="264">
        <v>259</v>
      </c>
      <c r="P104" s="264">
        <v>175</v>
      </c>
      <c r="Q104" s="264">
        <v>91</v>
      </c>
      <c r="R104" s="264">
        <v>14</v>
      </c>
      <c r="S104" s="264"/>
      <c r="T104" s="264"/>
      <c r="U104" s="279"/>
      <c r="V104" s="272">
        <f t="shared" si="4"/>
        <v>5628</v>
      </c>
    </row>
    <row r="105" spans="1:22" ht="12.75" customHeight="1">
      <c r="A105" s="375">
        <v>50</v>
      </c>
      <c r="B105" s="254" t="s">
        <v>276</v>
      </c>
      <c r="C105" s="361" t="s">
        <v>335</v>
      </c>
      <c r="D105" s="356">
        <v>548151.96</v>
      </c>
      <c r="E105" s="358" t="s">
        <v>354</v>
      </c>
      <c r="F105" s="280" t="s">
        <v>273</v>
      </c>
      <c r="G105" s="275">
        <v>48724</v>
      </c>
      <c r="H105" s="275">
        <v>48724</v>
      </c>
      <c r="I105" s="275">
        <v>48724</v>
      </c>
      <c r="J105" s="275">
        <v>48724</v>
      </c>
      <c r="K105" s="275">
        <v>48724</v>
      </c>
      <c r="L105" s="275">
        <v>48724</v>
      </c>
      <c r="M105" s="275">
        <v>48724</v>
      </c>
      <c r="N105" s="275">
        <v>48724</v>
      </c>
      <c r="O105" s="275">
        <v>48724</v>
      </c>
      <c r="P105" s="275">
        <v>48724</v>
      </c>
      <c r="Q105" s="275">
        <v>48724</v>
      </c>
      <c r="R105" s="275">
        <v>12188</v>
      </c>
      <c r="S105" s="275"/>
      <c r="T105" s="275"/>
      <c r="U105" s="278"/>
      <c r="V105" s="268">
        <f t="shared" si="4"/>
        <v>548152</v>
      </c>
    </row>
    <row r="106" spans="1:22" ht="12.75">
      <c r="A106" s="376"/>
      <c r="B106" s="260" t="s">
        <v>355</v>
      </c>
      <c r="C106" s="362"/>
      <c r="D106" s="357"/>
      <c r="E106" s="359"/>
      <c r="F106" s="262">
        <v>0.02201</v>
      </c>
      <c r="G106" s="264">
        <v>5664</v>
      </c>
      <c r="H106" s="264">
        <v>4328</v>
      </c>
      <c r="I106" s="264">
        <v>3899</v>
      </c>
      <c r="J106" s="264">
        <v>3481</v>
      </c>
      <c r="K106" s="264">
        <v>3042</v>
      </c>
      <c r="L106" s="264">
        <v>2613</v>
      </c>
      <c r="M106" s="264">
        <v>2184</v>
      </c>
      <c r="N106" s="264">
        <v>1768</v>
      </c>
      <c r="O106" s="264">
        <v>1327</v>
      </c>
      <c r="P106" s="264">
        <v>898</v>
      </c>
      <c r="Q106" s="264">
        <v>469</v>
      </c>
      <c r="R106" s="264">
        <v>74</v>
      </c>
      <c r="S106" s="264"/>
      <c r="T106" s="264"/>
      <c r="U106" s="279"/>
      <c r="V106" s="272">
        <f t="shared" si="4"/>
        <v>29747</v>
      </c>
    </row>
    <row r="107" spans="1:22" ht="12.75">
      <c r="A107" s="375">
        <v>51</v>
      </c>
      <c r="B107" s="254" t="s">
        <v>276</v>
      </c>
      <c r="C107" s="361" t="s">
        <v>356</v>
      </c>
      <c r="D107" s="356">
        <v>167721.29</v>
      </c>
      <c r="E107" s="358" t="s">
        <v>354</v>
      </c>
      <c r="F107" s="280" t="s">
        <v>273</v>
      </c>
      <c r="G107" s="275">
        <v>14908</v>
      </c>
      <c r="H107" s="275">
        <v>14908</v>
      </c>
      <c r="I107" s="275">
        <v>14908</v>
      </c>
      <c r="J107" s="275">
        <v>14908</v>
      </c>
      <c r="K107" s="275">
        <v>14908</v>
      </c>
      <c r="L107" s="275">
        <v>14908</v>
      </c>
      <c r="M107" s="275">
        <v>14908</v>
      </c>
      <c r="N107" s="275">
        <v>14908</v>
      </c>
      <c r="O107" s="275">
        <v>14908</v>
      </c>
      <c r="P107" s="275">
        <v>14908</v>
      </c>
      <c r="Q107" s="275">
        <v>14908</v>
      </c>
      <c r="R107" s="275">
        <v>3733</v>
      </c>
      <c r="S107" s="275"/>
      <c r="T107" s="275"/>
      <c r="U107" s="278"/>
      <c r="V107" s="268">
        <f t="shared" si="4"/>
        <v>167721</v>
      </c>
    </row>
    <row r="108" spans="1:22" ht="12.75">
      <c r="A108" s="376"/>
      <c r="B108" s="260" t="s">
        <v>357</v>
      </c>
      <c r="C108" s="362"/>
      <c r="D108" s="357"/>
      <c r="E108" s="359"/>
      <c r="F108" s="262">
        <v>0.02201</v>
      </c>
      <c r="G108" s="264">
        <v>1733</v>
      </c>
      <c r="H108" s="264">
        <v>2289</v>
      </c>
      <c r="I108" s="264">
        <v>2062</v>
      </c>
      <c r="J108" s="264">
        <v>1840</v>
      </c>
      <c r="K108" s="264">
        <v>1608</v>
      </c>
      <c r="L108" s="264">
        <v>1382</v>
      </c>
      <c r="M108" s="264">
        <v>1155</v>
      </c>
      <c r="N108" s="264">
        <v>831</v>
      </c>
      <c r="O108" s="264">
        <v>702</v>
      </c>
      <c r="P108" s="264">
        <v>475</v>
      </c>
      <c r="Q108" s="264">
        <v>248</v>
      </c>
      <c r="R108" s="264">
        <v>39</v>
      </c>
      <c r="S108" s="264"/>
      <c r="T108" s="264"/>
      <c r="U108" s="279"/>
      <c r="V108" s="272">
        <f t="shared" si="4"/>
        <v>14364</v>
      </c>
    </row>
    <row r="109" spans="1:22" ht="12.75" customHeight="1">
      <c r="A109" s="375">
        <v>52</v>
      </c>
      <c r="B109" s="254" t="s">
        <v>276</v>
      </c>
      <c r="C109" s="361" t="s">
        <v>332</v>
      </c>
      <c r="D109" s="356">
        <v>422004.52</v>
      </c>
      <c r="E109" s="358" t="s">
        <v>358</v>
      </c>
      <c r="F109" s="280" t="s">
        <v>273</v>
      </c>
      <c r="G109" s="275">
        <v>37512</v>
      </c>
      <c r="H109" s="275">
        <v>37512</v>
      </c>
      <c r="I109" s="275">
        <v>37512</v>
      </c>
      <c r="J109" s="275">
        <v>37512</v>
      </c>
      <c r="K109" s="275">
        <v>37512</v>
      </c>
      <c r="L109" s="275">
        <v>37512</v>
      </c>
      <c r="M109" s="275">
        <v>37512</v>
      </c>
      <c r="N109" s="275">
        <v>37512</v>
      </c>
      <c r="O109" s="275">
        <v>37512</v>
      </c>
      <c r="P109" s="275">
        <v>37512</v>
      </c>
      <c r="Q109" s="275">
        <v>37512</v>
      </c>
      <c r="R109" s="275">
        <v>9373</v>
      </c>
      <c r="S109" s="275"/>
      <c r="T109" s="275"/>
      <c r="U109" s="278"/>
      <c r="V109" s="268">
        <f t="shared" si="4"/>
        <v>422005</v>
      </c>
    </row>
    <row r="110" spans="1:22" ht="12.75">
      <c r="A110" s="376"/>
      <c r="B110" s="260" t="s">
        <v>359</v>
      </c>
      <c r="C110" s="362"/>
      <c r="D110" s="357"/>
      <c r="E110" s="359"/>
      <c r="F110" s="262">
        <v>0.02201</v>
      </c>
      <c r="G110" s="264">
        <v>4812</v>
      </c>
      <c r="H110" s="264">
        <v>4399</v>
      </c>
      <c r="I110" s="264">
        <v>3964</v>
      </c>
      <c r="J110" s="264">
        <v>3538</v>
      </c>
      <c r="K110" s="264">
        <v>3092</v>
      </c>
      <c r="L110" s="264">
        <v>2656</v>
      </c>
      <c r="M110" s="264">
        <v>2220</v>
      </c>
      <c r="N110" s="264">
        <v>1790</v>
      </c>
      <c r="O110" s="264">
        <v>1348</v>
      </c>
      <c r="P110" s="264">
        <v>913</v>
      </c>
      <c r="Q110" s="264">
        <v>477</v>
      </c>
      <c r="R110" s="264">
        <v>75</v>
      </c>
      <c r="S110" s="264"/>
      <c r="T110" s="264"/>
      <c r="U110" s="279"/>
      <c r="V110" s="272">
        <f t="shared" si="4"/>
        <v>29284</v>
      </c>
    </row>
    <row r="111" spans="1:22" ht="12.75" customHeight="1">
      <c r="A111" s="375">
        <v>53</v>
      </c>
      <c r="B111" s="254" t="s">
        <v>276</v>
      </c>
      <c r="C111" s="361" t="s">
        <v>360</v>
      </c>
      <c r="D111" s="356">
        <v>128717.79</v>
      </c>
      <c r="E111" s="358" t="s">
        <v>361</v>
      </c>
      <c r="F111" s="280" t="s">
        <v>273</v>
      </c>
      <c r="G111" s="275">
        <v>11444</v>
      </c>
      <c r="H111" s="275">
        <v>11444</v>
      </c>
      <c r="I111" s="275">
        <v>11444</v>
      </c>
      <c r="J111" s="275">
        <v>11444</v>
      </c>
      <c r="K111" s="275">
        <v>11444</v>
      </c>
      <c r="L111" s="275">
        <v>11444</v>
      </c>
      <c r="M111" s="275">
        <v>11444</v>
      </c>
      <c r="N111" s="275">
        <v>11444</v>
      </c>
      <c r="O111" s="275">
        <v>11444</v>
      </c>
      <c r="P111" s="275">
        <v>11444</v>
      </c>
      <c r="Q111" s="275">
        <v>11444</v>
      </c>
      <c r="R111" s="275">
        <v>2834</v>
      </c>
      <c r="S111" s="275"/>
      <c r="T111" s="275"/>
      <c r="U111" s="278"/>
      <c r="V111" s="268">
        <f t="shared" si="4"/>
        <v>128718</v>
      </c>
    </row>
    <row r="112" spans="1:22" ht="12.75">
      <c r="A112" s="376"/>
      <c r="B112" s="260" t="s">
        <v>362</v>
      </c>
      <c r="C112" s="362"/>
      <c r="D112" s="357"/>
      <c r="E112" s="359"/>
      <c r="F112" s="262">
        <v>0.02201</v>
      </c>
      <c r="G112" s="264">
        <v>1310</v>
      </c>
      <c r="H112" s="264">
        <v>1756</v>
      </c>
      <c r="I112" s="264">
        <v>1582</v>
      </c>
      <c r="J112" s="264">
        <v>1412</v>
      </c>
      <c r="K112" s="264">
        <v>1234</v>
      </c>
      <c r="L112" s="264">
        <v>1060</v>
      </c>
      <c r="M112" s="264">
        <v>886</v>
      </c>
      <c r="N112" s="264">
        <v>714</v>
      </c>
      <c r="O112" s="264">
        <v>538</v>
      </c>
      <c r="P112" s="264">
        <v>364</v>
      </c>
      <c r="Q112" s="264">
        <v>190</v>
      </c>
      <c r="R112" s="264">
        <v>30</v>
      </c>
      <c r="S112" s="264"/>
      <c r="T112" s="264"/>
      <c r="U112" s="279"/>
      <c r="V112" s="267">
        <f t="shared" si="4"/>
        <v>11076</v>
      </c>
    </row>
    <row r="113" spans="1:22" ht="12.75" customHeight="1">
      <c r="A113" s="375">
        <v>54</v>
      </c>
      <c r="B113" s="254" t="s">
        <v>276</v>
      </c>
      <c r="C113" s="361" t="s">
        <v>363</v>
      </c>
      <c r="D113" s="356">
        <v>356064.57</v>
      </c>
      <c r="E113" s="358" t="s">
        <v>364</v>
      </c>
      <c r="F113" s="280" t="s">
        <v>273</v>
      </c>
      <c r="G113" s="275">
        <v>31652</v>
      </c>
      <c r="H113" s="275">
        <v>31652</v>
      </c>
      <c r="I113" s="275">
        <v>31652</v>
      </c>
      <c r="J113" s="275">
        <v>31652</v>
      </c>
      <c r="K113" s="275">
        <v>31652</v>
      </c>
      <c r="L113" s="275">
        <v>31652</v>
      </c>
      <c r="M113" s="275">
        <v>31652</v>
      </c>
      <c r="N113" s="275">
        <v>31652</v>
      </c>
      <c r="O113" s="275">
        <v>31652</v>
      </c>
      <c r="P113" s="275">
        <v>31652</v>
      </c>
      <c r="Q113" s="275">
        <v>31652</v>
      </c>
      <c r="R113" s="275">
        <v>7893</v>
      </c>
      <c r="S113" s="275"/>
      <c r="T113" s="275"/>
      <c r="U113" s="278"/>
      <c r="V113" s="268">
        <f t="shared" si="4"/>
        <v>356065</v>
      </c>
    </row>
    <row r="114" spans="1:22" ht="12.75">
      <c r="A114" s="376"/>
      <c r="B114" s="260" t="s">
        <v>365</v>
      </c>
      <c r="C114" s="362"/>
      <c r="D114" s="357"/>
      <c r="E114" s="359"/>
      <c r="F114" s="262">
        <v>0.0217</v>
      </c>
      <c r="G114" s="264">
        <v>4351</v>
      </c>
      <c r="H114" s="264">
        <v>4860</v>
      </c>
      <c r="I114" s="264">
        <v>4378</v>
      </c>
      <c r="J114" s="264">
        <v>3908</v>
      </c>
      <c r="K114" s="264">
        <v>3405</v>
      </c>
      <c r="L114" s="264">
        <v>2934</v>
      </c>
      <c r="M114" s="264">
        <v>2453</v>
      </c>
      <c r="N114" s="264">
        <v>1977</v>
      </c>
      <c r="O114" s="264">
        <v>1490</v>
      </c>
      <c r="P114" s="264">
        <v>1009</v>
      </c>
      <c r="Q114" s="264">
        <v>527</v>
      </c>
      <c r="R114" s="264">
        <v>83</v>
      </c>
      <c r="S114" s="264"/>
      <c r="T114" s="264"/>
      <c r="U114" s="279"/>
      <c r="V114" s="272">
        <f t="shared" si="4"/>
        <v>31375</v>
      </c>
    </row>
    <row r="115" spans="1:22" ht="12.75" customHeight="1">
      <c r="A115" s="375">
        <v>55</v>
      </c>
      <c r="B115" s="254" t="s">
        <v>276</v>
      </c>
      <c r="C115" s="361" t="s">
        <v>366</v>
      </c>
      <c r="D115" s="356">
        <v>395137.87</v>
      </c>
      <c r="E115" s="358" t="s">
        <v>364</v>
      </c>
      <c r="F115" s="280" t="s">
        <v>273</v>
      </c>
      <c r="G115" s="275">
        <v>35124</v>
      </c>
      <c r="H115" s="275">
        <v>35124</v>
      </c>
      <c r="I115" s="275">
        <v>35124</v>
      </c>
      <c r="J115" s="275">
        <v>35124</v>
      </c>
      <c r="K115" s="275">
        <v>35124</v>
      </c>
      <c r="L115" s="275">
        <v>35124</v>
      </c>
      <c r="M115" s="275">
        <v>35124</v>
      </c>
      <c r="N115" s="275">
        <v>35124</v>
      </c>
      <c r="O115" s="275">
        <v>35124</v>
      </c>
      <c r="P115" s="275">
        <v>35124</v>
      </c>
      <c r="Q115" s="275">
        <v>35124</v>
      </c>
      <c r="R115" s="275">
        <v>8774</v>
      </c>
      <c r="S115" s="275"/>
      <c r="T115" s="275"/>
      <c r="U115" s="278"/>
      <c r="V115" s="268">
        <f t="shared" si="4"/>
        <v>395138</v>
      </c>
    </row>
    <row r="116" spans="1:22" ht="12.75">
      <c r="A116" s="376"/>
      <c r="B116" s="260" t="s">
        <v>367</v>
      </c>
      <c r="C116" s="362"/>
      <c r="D116" s="357"/>
      <c r="E116" s="359"/>
      <c r="F116" s="262">
        <v>0.0217</v>
      </c>
      <c r="G116" s="264">
        <v>4829</v>
      </c>
      <c r="H116" s="264">
        <v>5393</v>
      </c>
      <c r="I116" s="264">
        <v>4859</v>
      </c>
      <c r="J116" s="264">
        <v>4337</v>
      </c>
      <c r="K116" s="264">
        <v>3790</v>
      </c>
      <c r="L116" s="264">
        <v>3256</v>
      </c>
      <c r="M116" s="264">
        <v>2722</v>
      </c>
      <c r="N116" s="264">
        <v>2194</v>
      </c>
      <c r="O116" s="264">
        <v>1654</v>
      </c>
      <c r="P116" s="264">
        <v>1119</v>
      </c>
      <c r="Q116" s="264">
        <v>585</v>
      </c>
      <c r="R116" s="264">
        <v>93</v>
      </c>
      <c r="S116" s="264"/>
      <c r="T116" s="264"/>
      <c r="U116" s="279"/>
      <c r="V116" s="272">
        <f t="shared" si="4"/>
        <v>34831</v>
      </c>
    </row>
    <row r="117" spans="1:22" ht="12.75" customHeight="1">
      <c r="A117" s="375">
        <v>56</v>
      </c>
      <c r="B117" s="254" t="s">
        <v>276</v>
      </c>
      <c r="C117" s="361" t="s">
        <v>368</v>
      </c>
      <c r="D117" s="356">
        <v>98542.53</v>
      </c>
      <c r="E117" s="358" t="s">
        <v>364</v>
      </c>
      <c r="F117" s="280" t="s">
        <v>273</v>
      </c>
      <c r="G117" s="275">
        <v>8760</v>
      </c>
      <c r="H117" s="275">
        <v>8760</v>
      </c>
      <c r="I117" s="275">
        <v>8760</v>
      </c>
      <c r="J117" s="275">
        <v>8760</v>
      </c>
      <c r="K117" s="275">
        <v>8760</v>
      </c>
      <c r="L117" s="275">
        <v>8760</v>
      </c>
      <c r="M117" s="275">
        <v>8760</v>
      </c>
      <c r="N117" s="275">
        <v>8760</v>
      </c>
      <c r="O117" s="275">
        <v>8760</v>
      </c>
      <c r="P117" s="275">
        <v>8760</v>
      </c>
      <c r="Q117" s="275">
        <v>8760</v>
      </c>
      <c r="R117" s="275">
        <v>2183</v>
      </c>
      <c r="S117" s="275"/>
      <c r="T117" s="275"/>
      <c r="U117" s="278"/>
      <c r="V117" s="268">
        <f t="shared" si="4"/>
        <v>98543</v>
      </c>
    </row>
    <row r="118" spans="1:22" ht="12.75">
      <c r="A118" s="376"/>
      <c r="B118" s="260" t="s">
        <v>369</v>
      </c>
      <c r="C118" s="362"/>
      <c r="D118" s="357"/>
      <c r="E118" s="359"/>
      <c r="F118" s="262">
        <v>0.0217</v>
      </c>
      <c r="G118" s="264">
        <v>1204</v>
      </c>
      <c r="H118" s="264">
        <v>1345</v>
      </c>
      <c r="I118" s="264">
        <v>1212</v>
      </c>
      <c r="J118" s="264">
        <v>1081</v>
      </c>
      <c r="K118" s="264">
        <v>945</v>
      </c>
      <c r="L118" s="264">
        <v>812</v>
      </c>
      <c r="M118" s="264">
        <v>679</v>
      </c>
      <c r="N118" s="264">
        <v>547</v>
      </c>
      <c r="O118" s="264">
        <v>412</v>
      </c>
      <c r="P118" s="264">
        <v>279</v>
      </c>
      <c r="Q118" s="264">
        <v>146</v>
      </c>
      <c r="R118" s="264">
        <v>23</v>
      </c>
      <c r="S118" s="264"/>
      <c r="T118" s="264"/>
      <c r="U118" s="279"/>
      <c r="V118" s="272">
        <f t="shared" si="4"/>
        <v>8685</v>
      </c>
    </row>
    <row r="119" spans="1:22" ht="12.75" customHeight="1">
      <c r="A119" s="375">
        <v>57</v>
      </c>
      <c r="B119" s="254" t="s">
        <v>276</v>
      </c>
      <c r="C119" s="361" t="s">
        <v>455</v>
      </c>
      <c r="D119" s="356">
        <v>125508.02</v>
      </c>
      <c r="E119" s="358" t="s">
        <v>456</v>
      </c>
      <c r="F119" s="280" t="s">
        <v>273</v>
      </c>
      <c r="G119" s="275"/>
      <c r="H119" s="275">
        <v>11156</v>
      </c>
      <c r="I119" s="275">
        <v>11156</v>
      </c>
      <c r="J119" s="275">
        <v>11156</v>
      </c>
      <c r="K119" s="275">
        <v>11156</v>
      </c>
      <c r="L119" s="275">
        <v>11156</v>
      </c>
      <c r="M119" s="275">
        <v>11156</v>
      </c>
      <c r="N119" s="275">
        <v>11156</v>
      </c>
      <c r="O119" s="275">
        <v>11156</v>
      </c>
      <c r="P119" s="275">
        <v>11156</v>
      </c>
      <c r="Q119" s="275">
        <v>11156</v>
      </c>
      <c r="R119" s="275">
        <v>11156</v>
      </c>
      <c r="S119" s="275">
        <v>2792</v>
      </c>
      <c r="T119" s="275"/>
      <c r="U119" s="278"/>
      <c r="V119" s="259">
        <f t="shared" si="4"/>
        <v>125508</v>
      </c>
    </row>
    <row r="120" spans="1:22" ht="12.75">
      <c r="A120" s="376"/>
      <c r="B120" s="260" t="s">
        <v>457</v>
      </c>
      <c r="C120" s="362"/>
      <c r="D120" s="357"/>
      <c r="E120" s="359"/>
      <c r="F120" s="262">
        <v>0.01833</v>
      </c>
      <c r="G120" s="264">
        <v>2333</v>
      </c>
      <c r="H120" s="264">
        <v>2289</v>
      </c>
      <c r="I120" s="264">
        <v>2093</v>
      </c>
      <c r="J120" s="264">
        <v>1891</v>
      </c>
      <c r="K120" s="264">
        <v>1678</v>
      </c>
      <c r="L120" s="264">
        <v>1471</v>
      </c>
      <c r="M120" s="264">
        <v>1263</v>
      </c>
      <c r="N120" s="264">
        <v>1059</v>
      </c>
      <c r="O120" s="264">
        <v>849</v>
      </c>
      <c r="P120" s="264">
        <v>641</v>
      </c>
      <c r="Q120" s="264">
        <v>434</v>
      </c>
      <c r="R120" s="264">
        <v>228</v>
      </c>
      <c r="S120" s="264">
        <v>36</v>
      </c>
      <c r="T120" s="264"/>
      <c r="U120" s="279"/>
      <c r="V120" s="267">
        <f t="shared" si="4"/>
        <v>16265</v>
      </c>
    </row>
    <row r="121" spans="1:22" ht="12.75" customHeight="1">
      <c r="A121" s="375">
        <v>58</v>
      </c>
      <c r="B121" s="254" t="s">
        <v>276</v>
      </c>
      <c r="C121" s="361" t="s">
        <v>458</v>
      </c>
      <c r="D121" s="356">
        <v>57090</v>
      </c>
      <c r="E121" s="358" t="s">
        <v>459</v>
      </c>
      <c r="F121" s="280" t="s">
        <v>273</v>
      </c>
      <c r="G121" s="275"/>
      <c r="H121" s="275">
        <v>5076</v>
      </c>
      <c r="I121" s="275">
        <v>5076</v>
      </c>
      <c r="J121" s="275">
        <v>5076</v>
      </c>
      <c r="K121" s="275">
        <v>5076</v>
      </c>
      <c r="L121" s="275">
        <v>5076</v>
      </c>
      <c r="M121" s="275">
        <v>5076</v>
      </c>
      <c r="N121" s="275">
        <v>5076</v>
      </c>
      <c r="O121" s="275">
        <v>5076</v>
      </c>
      <c r="P121" s="275">
        <v>5076</v>
      </c>
      <c r="Q121" s="275">
        <v>5076</v>
      </c>
      <c r="R121" s="275">
        <v>5076</v>
      </c>
      <c r="S121" s="275">
        <v>1254</v>
      </c>
      <c r="T121" s="275"/>
      <c r="U121" s="278"/>
      <c r="V121" s="259">
        <f t="shared" si="4"/>
        <v>57090</v>
      </c>
    </row>
    <row r="122" spans="1:22" ht="12.75">
      <c r="A122" s="376"/>
      <c r="B122" s="260" t="s">
        <v>460</v>
      </c>
      <c r="C122" s="362"/>
      <c r="D122" s="357"/>
      <c r="E122" s="359"/>
      <c r="F122" s="262">
        <v>0.01833</v>
      </c>
      <c r="G122" s="264">
        <v>1061</v>
      </c>
      <c r="H122" s="264">
        <v>1009</v>
      </c>
      <c r="I122" s="264">
        <v>952</v>
      </c>
      <c r="J122" s="264">
        <v>860</v>
      </c>
      <c r="K122" s="264">
        <v>763</v>
      </c>
      <c r="L122" s="264">
        <v>669</v>
      </c>
      <c r="M122" s="264">
        <v>575</v>
      </c>
      <c r="N122" s="264">
        <v>482</v>
      </c>
      <c r="O122" s="264">
        <v>386</v>
      </c>
      <c r="P122" s="264">
        <v>292</v>
      </c>
      <c r="Q122" s="264">
        <v>197</v>
      </c>
      <c r="R122" s="264">
        <v>103</v>
      </c>
      <c r="S122" s="264">
        <v>16</v>
      </c>
      <c r="T122" s="264"/>
      <c r="U122" s="279"/>
      <c r="V122" s="267">
        <f t="shared" si="4"/>
        <v>7365</v>
      </c>
    </row>
    <row r="123" spans="1:22" ht="12.75" customHeight="1">
      <c r="A123" s="375">
        <v>59</v>
      </c>
      <c r="B123" s="254" t="s">
        <v>276</v>
      </c>
      <c r="C123" s="361" t="s">
        <v>461</v>
      </c>
      <c r="D123" s="356">
        <v>53276.1</v>
      </c>
      <c r="E123" s="358" t="s">
        <v>459</v>
      </c>
      <c r="F123" s="280" t="s">
        <v>273</v>
      </c>
      <c r="G123" s="275"/>
      <c r="H123" s="275">
        <v>3548</v>
      </c>
      <c r="I123" s="275">
        <v>4736</v>
      </c>
      <c r="J123" s="275">
        <v>4736</v>
      </c>
      <c r="K123" s="275">
        <v>4736</v>
      </c>
      <c r="L123" s="275">
        <v>4736</v>
      </c>
      <c r="M123" s="275">
        <v>4736</v>
      </c>
      <c r="N123" s="275">
        <v>4736</v>
      </c>
      <c r="O123" s="275">
        <v>4736</v>
      </c>
      <c r="P123" s="275">
        <v>4736</v>
      </c>
      <c r="Q123" s="275">
        <v>4736</v>
      </c>
      <c r="R123" s="275">
        <v>4736</v>
      </c>
      <c r="S123" s="275">
        <v>2368</v>
      </c>
      <c r="T123" s="275"/>
      <c r="U123" s="278"/>
      <c r="V123" s="268">
        <f t="shared" si="4"/>
        <v>53276</v>
      </c>
    </row>
    <row r="124" spans="1:22" ht="12.75">
      <c r="A124" s="376"/>
      <c r="B124" s="260" t="s">
        <v>462</v>
      </c>
      <c r="C124" s="362"/>
      <c r="D124" s="357"/>
      <c r="E124" s="359"/>
      <c r="F124" s="262">
        <v>0.01833</v>
      </c>
      <c r="G124" s="264">
        <v>1008</v>
      </c>
      <c r="H124" s="264">
        <v>952</v>
      </c>
      <c r="I124" s="264">
        <v>910</v>
      </c>
      <c r="J124" s="264">
        <v>825</v>
      </c>
      <c r="K124" s="264">
        <v>734</v>
      </c>
      <c r="L124" s="264">
        <v>646</v>
      </c>
      <c r="M124" s="264">
        <v>558</v>
      </c>
      <c r="N124" s="264">
        <v>472</v>
      </c>
      <c r="O124" s="264">
        <v>382</v>
      </c>
      <c r="P124" s="264">
        <v>294</v>
      </c>
      <c r="Q124" s="264">
        <v>206</v>
      </c>
      <c r="R124" s="264">
        <v>119</v>
      </c>
      <c r="S124" s="264">
        <v>31</v>
      </c>
      <c r="T124" s="264"/>
      <c r="U124" s="279"/>
      <c r="V124" s="272">
        <f t="shared" si="4"/>
        <v>7137</v>
      </c>
    </row>
    <row r="125" spans="1:22" ht="12.75" customHeight="1">
      <c r="A125" s="375">
        <v>60</v>
      </c>
      <c r="B125" s="254" t="s">
        <v>276</v>
      </c>
      <c r="C125" s="361" t="s">
        <v>463</v>
      </c>
      <c r="D125" s="356">
        <v>44076</v>
      </c>
      <c r="E125" s="358" t="s">
        <v>459</v>
      </c>
      <c r="F125" s="280" t="s">
        <v>273</v>
      </c>
      <c r="G125" s="275"/>
      <c r="H125" s="275">
        <v>3916</v>
      </c>
      <c r="I125" s="275">
        <v>3916</v>
      </c>
      <c r="J125" s="275">
        <v>3916</v>
      </c>
      <c r="K125" s="275">
        <v>3916</v>
      </c>
      <c r="L125" s="275">
        <v>3916</v>
      </c>
      <c r="M125" s="275">
        <v>3916</v>
      </c>
      <c r="N125" s="275">
        <v>3916</v>
      </c>
      <c r="O125" s="275">
        <v>3916</v>
      </c>
      <c r="P125" s="275">
        <v>3916</v>
      </c>
      <c r="Q125" s="275">
        <v>3916</v>
      </c>
      <c r="R125" s="275">
        <v>3916</v>
      </c>
      <c r="S125" s="275">
        <v>1000</v>
      </c>
      <c r="T125" s="275"/>
      <c r="U125" s="278"/>
      <c r="V125" s="268">
        <f aca="true" t="shared" si="5" ref="V125:V138">SUM(G125:T125)</f>
        <v>44076</v>
      </c>
    </row>
    <row r="126" spans="1:22" ht="12.75">
      <c r="A126" s="376"/>
      <c r="B126" s="260" t="s">
        <v>464</v>
      </c>
      <c r="C126" s="362"/>
      <c r="D126" s="357"/>
      <c r="E126" s="359"/>
      <c r="F126" s="262">
        <v>0.01833</v>
      </c>
      <c r="G126" s="264">
        <v>819</v>
      </c>
      <c r="H126" s="264">
        <v>779</v>
      </c>
      <c r="I126" s="264">
        <v>735</v>
      </c>
      <c r="J126" s="264">
        <v>664</v>
      </c>
      <c r="K126" s="264">
        <v>589</v>
      </c>
      <c r="L126" s="264">
        <v>517</v>
      </c>
      <c r="M126" s="264">
        <v>444</v>
      </c>
      <c r="N126" s="264">
        <v>372</v>
      </c>
      <c r="O126" s="264">
        <v>298</v>
      </c>
      <c r="P126" s="264">
        <v>226</v>
      </c>
      <c r="Q126" s="264">
        <v>153</v>
      </c>
      <c r="R126" s="264">
        <v>80</v>
      </c>
      <c r="S126" s="264">
        <v>13</v>
      </c>
      <c r="T126" s="264"/>
      <c r="U126" s="279"/>
      <c r="V126" s="267">
        <f t="shared" si="5"/>
        <v>5689</v>
      </c>
    </row>
    <row r="127" spans="1:22" ht="12.75" customHeight="1">
      <c r="A127" s="375">
        <v>61</v>
      </c>
      <c r="B127" s="254" t="s">
        <v>276</v>
      </c>
      <c r="C127" s="361" t="s">
        <v>543</v>
      </c>
      <c r="D127" s="356">
        <v>641472.45</v>
      </c>
      <c r="E127" s="358" t="s">
        <v>465</v>
      </c>
      <c r="F127" s="280" t="s">
        <v>273</v>
      </c>
      <c r="G127" s="275"/>
      <c r="H127" s="275">
        <v>42765</v>
      </c>
      <c r="I127" s="275">
        <v>57020</v>
      </c>
      <c r="J127" s="275">
        <v>57020</v>
      </c>
      <c r="K127" s="275">
        <v>57020</v>
      </c>
      <c r="L127" s="275">
        <v>57020</v>
      </c>
      <c r="M127" s="275">
        <v>57020</v>
      </c>
      <c r="N127" s="275">
        <v>57020</v>
      </c>
      <c r="O127" s="275">
        <v>57020</v>
      </c>
      <c r="P127" s="275">
        <v>57020</v>
      </c>
      <c r="Q127" s="275">
        <v>57020</v>
      </c>
      <c r="R127" s="275">
        <v>57020</v>
      </c>
      <c r="S127" s="275">
        <v>28508</v>
      </c>
      <c r="T127" s="275"/>
      <c r="U127" s="278"/>
      <c r="V127" s="259">
        <f t="shared" si="5"/>
        <v>641473</v>
      </c>
    </row>
    <row r="128" spans="1:22" ht="12.75">
      <c r="A128" s="376"/>
      <c r="B128" s="260" t="s">
        <v>466</v>
      </c>
      <c r="C128" s="362"/>
      <c r="D128" s="357"/>
      <c r="E128" s="359"/>
      <c r="F128" s="262">
        <v>0.01833</v>
      </c>
      <c r="G128" s="264">
        <v>11921</v>
      </c>
      <c r="H128" s="264">
        <v>11458</v>
      </c>
      <c r="I128" s="264">
        <v>10961</v>
      </c>
      <c r="J128" s="264">
        <v>9930</v>
      </c>
      <c r="K128" s="264">
        <v>8842</v>
      </c>
      <c r="L128" s="264">
        <v>7782</v>
      </c>
      <c r="M128" s="264">
        <v>6722</v>
      </c>
      <c r="N128" s="264">
        <v>5679</v>
      </c>
      <c r="O128" s="264">
        <v>4603</v>
      </c>
      <c r="P128" s="264">
        <v>3543</v>
      </c>
      <c r="Q128" s="264">
        <v>2484</v>
      </c>
      <c r="R128" s="264">
        <v>1429</v>
      </c>
      <c r="S128" s="264">
        <v>313</v>
      </c>
      <c r="T128" s="264"/>
      <c r="U128" s="279"/>
      <c r="V128" s="267">
        <f t="shared" si="5"/>
        <v>85667</v>
      </c>
    </row>
    <row r="129" spans="1:22" ht="12.75" customHeight="1">
      <c r="A129" s="375">
        <v>62</v>
      </c>
      <c r="B129" s="254" t="s">
        <v>276</v>
      </c>
      <c r="C129" s="361" t="s">
        <v>467</v>
      </c>
      <c r="D129" s="356">
        <v>109791.07</v>
      </c>
      <c r="E129" s="358" t="s">
        <v>468</v>
      </c>
      <c r="F129" s="280" t="s">
        <v>273</v>
      </c>
      <c r="G129" s="275"/>
      <c r="H129" s="275">
        <v>7320</v>
      </c>
      <c r="I129" s="275">
        <v>9760</v>
      </c>
      <c r="J129" s="275">
        <v>9760</v>
      </c>
      <c r="K129" s="275">
        <v>9760</v>
      </c>
      <c r="L129" s="275">
        <v>9760</v>
      </c>
      <c r="M129" s="275">
        <v>9760</v>
      </c>
      <c r="N129" s="275">
        <v>9760</v>
      </c>
      <c r="O129" s="275">
        <v>9760</v>
      </c>
      <c r="P129" s="275">
        <v>9760</v>
      </c>
      <c r="Q129" s="275">
        <v>9760</v>
      </c>
      <c r="R129" s="275">
        <v>9760</v>
      </c>
      <c r="S129" s="275">
        <v>4871</v>
      </c>
      <c r="T129" s="275"/>
      <c r="U129" s="278"/>
      <c r="V129" s="259">
        <f t="shared" si="5"/>
        <v>109791</v>
      </c>
    </row>
    <row r="130" spans="1:22" ht="12.75">
      <c r="A130" s="376"/>
      <c r="B130" s="260" t="s">
        <v>469</v>
      </c>
      <c r="C130" s="362"/>
      <c r="D130" s="357"/>
      <c r="E130" s="359"/>
      <c r="F130" s="262">
        <v>0.02074</v>
      </c>
      <c r="G130" s="264">
        <v>1474</v>
      </c>
      <c r="H130" s="264">
        <v>1605</v>
      </c>
      <c r="I130" s="264">
        <v>1535</v>
      </c>
      <c r="J130" s="264">
        <v>1391</v>
      </c>
      <c r="K130" s="264">
        <v>1238</v>
      </c>
      <c r="L130" s="264">
        <v>1090</v>
      </c>
      <c r="M130" s="264">
        <v>942</v>
      </c>
      <c r="N130" s="264">
        <v>795</v>
      </c>
      <c r="O130" s="264">
        <v>645</v>
      </c>
      <c r="P130" s="264">
        <v>496</v>
      </c>
      <c r="Q130" s="264">
        <v>348</v>
      </c>
      <c r="R130" s="264">
        <v>200</v>
      </c>
      <c r="S130" s="264">
        <v>52</v>
      </c>
      <c r="T130" s="264"/>
      <c r="U130" s="279"/>
      <c r="V130" s="267">
        <f t="shared" si="5"/>
        <v>11811</v>
      </c>
    </row>
    <row r="131" spans="1:22" ht="12.75" customHeight="1">
      <c r="A131" s="375">
        <v>63</v>
      </c>
      <c r="B131" s="254" t="s">
        <v>276</v>
      </c>
      <c r="C131" s="361" t="s">
        <v>470</v>
      </c>
      <c r="D131" s="356">
        <v>103829</v>
      </c>
      <c r="E131" s="358" t="s">
        <v>471</v>
      </c>
      <c r="F131" s="280" t="s">
        <v>273</v>
      </c>
      <c r="G131" s="275"/>
      <c r="H131" s="275">
        <v>6924</v>
      </c>
      <c r="I131" s="275">
        <v>9232</v>
      </c>
      <c r="J131" s="275">
        <v>9232</v>
      </c>
      <c r="K131" s="275">
        <v>9232</v>
      </c>
      <c r="L131" s="275">
        <v>9232</v>
      </c>
      <c r="M131" s="275">
        <v>9232</v>
      </c>
      <c r="N131" s="275">
        <v>9232</v>
      </c>
      <c r="O131" s="275">
        <v>9232</v>
      </c>
      <c r="P131" s="275">
        <v>9232</v>
      </c>
      <c r="Q131" s="275">
        <v>9232</v>
      </c>
      <c r="R131" s="275">
        <v>9232</v>
      </c>
      <c r="S131" s="275">
        <v>4585</v>
      </c>
      <c r="T131" s="275"/>
      <c r="U131" s="278"/>
      <c r="V131" s="259">
        <f t="shared" si="5"/>
        <v>103829</v>
      </c>
    </row>
    <row r="132" spans="1:22" ht="12.75">
      <c r="A132" s="376"/>
      <c r="B132" s="260" t="s">
        <v>544</v>
      </c>
      <c r="C132" s="362"/>
      <c r="D132" s="357"/>
      <c r="E132" s="359"/>
      <c r="F132" s="262">
        <v>0.022</v>
      </c>
      <c r="G132" s="264">
        <v>2052</v>
      </c>
      <c r="H132" s="264">
        <v>2029</v>
      </c>
      <c r="I132" s="264">
        <v>1882</v>
      </c>
      <c r="J132" s="264">
        <v>1700</v>
      </c>
      <c r="K132" s="264">
        <v>1522</v>
      </c>
      <c r="L132" s="264">
        <v>1336</v>
      </c>
      <c r="M132" s="264">
        <v>1154</v>
      </c>
      <c r="N132" s="264">
        <v>972</v>
      </c>
      <c r="O132" s="264">
        <v>792</v>
      </c>
      <c r="P132" s="264">
        <v>608</v>
      </c>
      <c r="Q132" s="264">
        <v>426</v>
      </c>
      <c r="R132" s="264">
        <v>244</v>
      </c>
      <c r="S132" s="264">
        <v>54</v>
      </c>
      <c r="T132" s="264"/>
      <c r="U132" s="279"/>
      <c r="V132" s="267">
        <f t="shared" si="5"/>
        <v>14771</v>
      </c>
    </row>
    <row r="133" spans="1:22" s="67" customFormat="1" ht="12.75" customHeight="1">
      <c r="A133" s="375">
        <v>64</v>
      </c>
      <c r="B133" s="254" t="s">
        <v>276</v>
      </c>
      <c r="C133" s="361" t="s">
        <v>325</v>
      </c>
      <c r="D133" s="356">
        <v>20419.26</v>
      </c>
      <c r="E133" s="358" t="s">
        <v>471</v>
      </c>
      <c r="F133" s="280" t="s">
        <v>273</v>
      </c>
      <c r="G133" s="275"/>
      <c r="H133" s="275">
        <v>1351</v>
      </c>
      <c r="I133" s="275">
        <v>1816</v>
      </c>
      <c r="J133" s="275">
        <v>1816</v>
      </c>
      <c r="K133" s="275">
        <v>1816</v>
      </c>
      <c r="L133" s="275">
        <v>1816</v>
      </c>
      <c r="M133" s="275">
        <v>1816</v>
      </c>
      <c r="N133" s="275">
        <v>1816</v>
      </c>
      <c r="O133" s="275">
        <v>1816</v>
      </c>
      <c r="P133" s="275">
        <v>1816</v>
      </c>
      <c r="Q133" s="275">
        <v>1816</v>
      </c>
      <c r="R133" s="275">
        <v>1816</v>
      </c>
      <c r="S133" s="275">
        <v>908</v>
      </c>
      <c r="T133" s="275"/>
      <c r="U133" s="278"/>
      <c r="V133" s="259">
        <f t="shared" si="5"/>
        <v>20419</v>
      </c>
    </row>
    <row r="134" spans="1:22" s="67" customFormat="1" ht="12.75">
      <c r="A134" s="376"/>
      <c r="B134" s="260" t="s">
        <v>545</v>
      </c>
      <c r="C134" s="362"/>
      <c r="D134" s="357"/>
      <c r="E134" s="359"/>
      <c r="F134" s="262">
        <v>0.022</v>
      </c>
      <c r="G134" s="264">
        <v>657</v>
      </c>
      <c r="H134" s="264">
        <v>399</v>
      </c>
      <c r="I134" s="264">
        <v>370</v>
      </c>
      <c r="J134" s="264">
        <v>335</v>
      </c>
      <c r="K134" s="264">
        <v>300</v>
      </c>
      <c r="L134" s="264">
        <v>263</v>
      </c>
      <c r="M134" s="264">
        <v>227</v>
      </c>
      <c r="N134" s="264">
        <v>191</v>
      </c>
      <c r="O134" s="264">
        <v>156</v>
      </c>
      <c r="P134" s="264">
        <v>120</v>
      </c>
      <c r="Q134" s="264">
        <v>84</v>
      </c>
      <c r="R134" s="264">
        <v>48</v>
      </c>
      <c r="S134" s="264">
        <v>13</v>
      </c>
      <c r="T134" s="264"/>
      <c r="U134" s="279"/>
      <c r="V134" s="267">
        <f t="shared" si="5"/>
        <v>3163</v>
      </c>
    </row>
    <row r="135" spans="1:22" s="67" customFormat="1" ht="12.75" customHeight="1">
      <c r="A135" s="375">
        <v>65</v>
      </c>
      <c r="B135" s="254" t="s">
        <v>276</v>
      </c>
      <c r="C135" s="361" t="s">
        <v>463</v>
      </c>
      <c r="D135" s="356">
        <v>20325</v>
      </c>
      <c r="E135" s="358" t="s">
        <v>546</v>
      </c>
      <c r="F135" s="280" t="s">
        <v>273</v>
      </c>
      <c r="G135" s="275"/>
      <c r="H135" s="275"/>
      <c r="I135" s="275">
        <v>1808</v>
      </c>
      <c r="J135" s="275">
        <v>1808</v>
      </c>
      <c r="K135" s="275">
        <v>1808</v>
      </c>
      <c r="L135" s="275">
        <v>1808</v>
      </c>
      <c r="M135" s="275">
        <v>1808</v>
      </c>
      <c r="N135" s="275">
        <v>1808</v>
      </c>
      <c r="O135" s="275">
        <v>1808</v>
      </c>
      <c r="P135" s="275">
        <v>1808</v>
      </c>
      <c r="Q135" s="275">
        <v>1808</v>
      </c>
      <c r="R135" s="275">
        <v>1808</v>
      </c>
      <c r="S135" s="275">
        <v>1808</v>
      </c>
      <c r="T135" s="275">
        <v>437</v>
      </c>
      <c r="U135" s="278"/>
      <c r="V135" s="259">
        <f t="shared" si="5"/>
        <v>20325</v>
      </c>
    </row>
    <row r="136" spans="1:22" s="67" customFormat="1" ht="12.75">
      <c r="A136" s="376"/>
      <c r="B136" s="260" t="s">
        <v>547</v>
      </c>
      <c r="C136" s="362"/>
      <c r="D136" s="357"/>
      <c r="E136" s="359"/>
      <c r="F136" s="262">
        <v>0.01833</v>
      </c>
      <c r="G136" s="264">
        <v>378</v>
      </c>
      <c r="H136" s="264">
        <v>378</v>
      </c>
      <c r="I136" s="264">
        <v>371</v>
      </c>
      <c r="J136" s="264">
        <v>340</v>
      </c>
      <c r="K136" s="264">
        <v>305</v>
      </c>
      <c r="L136" s="264">
        <v>272</v>
      </c>
      <c r="M136" s="264">
        <v>238</v>
      </c>
      <c r="N136" s="264">
        <v>205</v>
      </c>
      <c r="O136" s="264">
        <v>171</v>
      </c>
      <c r="P136" s="264">
        <v>137</v>
      </c>
      <c r="Q136" s="264">
        <v>104</v>
      </c>
      <c r="R136" s="264">
        <v>70</v>
      </c>
      <c r="S136" s="264">
        <v>36</v>
      </c>
      <c r="T136" s="264">
        <v>6</v>
      </c>
      <c r="U136" s="279"/>
      <c r="V136" s="267">
        <f t="shared" si="5"/>
        <v>3011</v>
      </c>
    </row>
    <row r="137" spans="1:22" s="67" customFormat="1" ht="12.75" customHeight="1">
      <c r="A137" s="375">
        <v>66</v>
      </c>
      <c r="B137" s="254" t="s">
        <v>276</v>
      </c>
      <c r="C137" s="361" t="s">
        <v>548</v>
      </c>
      <c r="D137" s="356">
        <v>6408642</v>
      </c>
      <c r="E137" s="358" t="s">
        <v>549</v>
      </c>
      <c r="F137" s="280" t="s">
        <v>273</v>
      </c>
      <c r="G137" s="275"/>
      <c r="H137" s="275"/>
      <c r="I137" s="275">
        <v>284830</v>
      </c>
      <c r="J137" s="275">
        <v>569660</v>
      </c>
      <c r="K137" s="275">
        <v>569660</v>
      </c>
      <c r="L137" s="275">
        <v>569660</v>
      </c>
      <c r="M137" s="275">
        <v>569660</v>
      </c>
      <c r="N137" s="275">
        <v>569660</v>
      </c>
      <c r="O137" s="275">
        <v>569660</v>
      </c>
      <c r="P137" s="275">
        <v>569660</v>
      </c>
      <c r="Q137" s="275">
        <v>569660</v>
      </c>
      <c r="R137" s="275">
        <v>569660</v>
      </c>
      <c r="S137" s="275">
        <v>569660</v>
      </c>
      <c r="T137" s="275">
        <v>427212</v>
      </c>
      <c r="U137" s="278"/>
      <c r="V137" s="268">
        <f t="shared" si="5"/>
        <v>6408642</v>
      </c>
    </row>
    <row r="138" spans="1:22" s="67" customFormat="1" ht="12.75">
      <c r="A138" s="376"/>
      <c r="B138" s="260" t="s">
        <v>550</v>
      </c>
      <c r="C138" s="362"/>
      <c r="D138" s="357"/>
      <c r="E138" s="359"/>
      <c r="F138" s="262">
        <v>0.00868</v>
      </c>
      <c r="G138" s="264">
        <v>60733</v>
      </c>
      <c r="H138" s="264">
        <v>97465</v>
      </c>
      <c r="I138" s="264">
        <v>97399</v>
      </c>
      <c r="J138" s="264">
        <v>92041</v>
      </c>
      <c r="K138" s="264">
        <v>83116</v>
      </c>
      <c r="L138" s="264">
        <v>74453</v>
      </c>
      <c r="M138" s="264">
        <v>65789</v>
      </c>
      <c r="N138" s="264">
        <v>57292</v>
      </c>
      <c r="O138" s="264">
        <v>48462</v>
      </c>
      <c r="P138" s="264">
        <v>39799</v>
      </c>
      <c r="Q138" s="264">
        <v>31135</v>
      </c>
      <c r="R138" s="264">
        <v>22543</v>
      </c>
      <c r="S138" s="264">
        <v>13808</v>
      </c>
      <c r="T138" s="264">
        <v>5144</v>
      </c>
      <c r="U138" s="279"/>
      <c r="V138" s="272">
        <f t="shared" si="5"/>
        <v>789179</v>
      </c>
    </row>
    <row r="139" spans="1:22" s="67" customFormat="1" ht="12.75" customHeight="1">
      <c r="A139" s="375">
        <v>67</v>
      </c>
      <c r="B139" s="254" t="s">
        <v>276</v>
      </c>
      <c r="C139" s="361" t="s">
        <v>552</v>
      </c>
      <c r="D139" s="356">
        <v>247003</v>
      </c>
      <c r="E139" s="358" t="s">
        <v>651</v>
      </c>
      <c r="F139" s="280" t="s">
        <v>273</v>
      </c>
      <c r="G139" s="275"/>
      <c r="H139" s="275"/>
      <c r="I139" s="275">
        <v>5500</v>
      </c>
      <c r="J139" s="275">
        <v>22000</v>
      </c>
      <c r="K139" s="275">
        <v>22000</v>
      </c>
      <c r="L139" s="275">
        <v>22000</v>
      </c>
      <c r="M139" s="275">
        <v>22000</v>
      </c>
      <c r="N139" s="275">
        <v>22000</v>
      </c>
      <c r="O139" s="275">
        <v>22000</v>
      </c>
      <c r="P139" s="275">
        <v>22000</v>
      </c>
      <c r="Q139" s="275">
        <v>22000</v>
      </c>
      <c r="R139" s="275">
        <v>22000</v>
      </c>
      <c r="S139" s="275">
        <v>22000</v>
      </c>
      <c r="T139" s="275">
        <v>21503</v>
      </c>
      <c r="U139" s="278"/>
      <c r="V139" s="268">
        <f>SUM(G139:U139)</f>
        <v>247003</v>
      </c>
    </row>
    <row r="140" spans="1:22" s="67" customFormat="1" ht="12.75">
      <c r="A140" s="376"/>
      <c r="B140" s="260" t="s">
        <v>650</v>
      </c>
      <c r="C140" s="362"/>
      <c r="D140" s="357"/>
      <c r="E140" s="359"/>
      <c r="F140" s="262">
        <v>0.00889</v>
      </c>
      <c r="G140" s="264">
        <v>2300</v>
      </c>
      <c r="H140" s="264">
        <v>2300</v>
      </c>
      <c r="I140" s="264">
        <v>2300</v>
      </c>
      <c r="J140" s="264">
        <v>2152</v>
      </c>
      <c r="K140" s="264">
        <v>1948</v>
      </c>
      <c r="L140" s="264">
        <v>1749</v>
      </c>
      <c r="M140" s="264">
        <v>1551</v>
      </c>
      <c r="N140" s="264">
        <v>1357</v>
      </c>
      <c r="O140" s="264">
        <v>1154</v>
      </c>
      <c r="P140" s="264">
        <v>956</v>
      </c>
      <c r="Q140" s="264">
        <v>758</v>
      </c>
      <c r="R140" s="264">
        <v>561</v>
      </c>
      <c r="S140" s="264">
        <v>361</v>
      </c>
      <c r="T140" s="264">
        <v>173</v>
      </c>
      <c r="U140" s="279"/>
      <c r="V140" s="272">
        <f>SUM(G140:T140)</f>
        <v>19620</v>
      </c>
    </row>
    <row r="141" spans="1:22" s="67" customFormat="1" ht="12.75" customHeight="1">
      <c r="A141" s="375">
        <v>68</v>
      </c>
      <c r="B141" s="254" t="s">
        <v>276</v>
      </c>
      <c r="C141" s="361" t="s">
        <v>553</v>
      </c>
      <c r="D141" s="356">
        <v>196000</v>
      </c>
      <c r="E141" s="358" t="s">
        <v>554</v>
      </c>
      <c r="F141" s="280" t="s">
        <v>273</v>
      </c>
      <c r="G141" s="275"/>
      <c r="H141" s="275"/>
      <c r="I141" s="275">
        <v>8712</v>
      </c>
      <c r="J141" s="275">
        <v>17424</v>
      </c>
      <c r="K141" s="275">
        <v>17424</v>
      </c>
      <c r="L141" s="275">
        <v>17424</v>
      </c>
      <c r="M141" s="275">
        <v>17424</v>
      </c>
      <c r="N141" s="275">
        <v>17424</v>
      </c>
      <c r="O141" s="275">
        <v>17424</v>
      </c>
      <c r="P141" s="275">
        <v>17424</v>
      </c>
      <c r="Q141" s="275">
        <v>17424</v>
      </c>
      <c r="R141" s="275">
        <v>17424</v>
      </c>
      <c r="S141" s="275">
        <v>17424</v>
      </c>
      <c r="T141" s="275">
        <v>13048</v>
      </c>
      <c r="U141" s="278"/>
      <c r="V141" s="268">
        <f aca="true" t="shared" si="6" ref="V141:V156">SUM(G141:U141)</f>
        <v>196000</v>
      </c>
    </row>
    <row r="142" spans="1:22" s="67" customFormat="1" ht="12.75">
      <c r="A142" s="376"/>
      <c r="B142" s="260" t="s">
        <v>555</v>
      </c>
      <c r="C142" s="362"/>
      <c r="D142" s="357"/>
      <c r="E142" s="359"/>
      <c r="F142" s="262">
        <v>0.01146</v>
      </c>
      <c r="G142" s="264">
        <v>2632</v>
      </c>
      <c r="H142" s="264">
        <v>2987</v>
      </c>
      <c r="I142" s="264">
        <v>2973</v>
      </c>
      <c r="J142" s="264">
        <v>2815</v>
      </c>
      <c r="K142" s="264">
        <v>2542</v>
      </c>
      <c r="L142" s="264">
        <v>2277</v>
      </c>
      <c r="M142" s="264">
        <v>2012</v>
      </c>
      <c r="N142" s="264">
        <v>1752</v>
      </c>
      <c r="O142" s="264">
        <v>1482</v>
      </c>
      <c r="P142" s="264">
        <v>1217</v>
      </c>
      <c r="Q142" s="264">
        <v>952</v>
      </c>
      <c r="R142" s="264">
        <v>689</v>
      </c>
      <c r="S142" s="264">
        <v>422</v>
      </c>
      <c r="T142" s="264">
        <v>157</v>
      </c>
      <c r="U142" s="279"/>
      <c r="V142" s="272">
        <f t="shared" si="6"/>
        <v>24909</v>
      </c>
    </row>
    <row r="143" spans="1:22" s="67" customFormat="1" ht="12.75" customHeight="1">
      <c r="A143" s="375">
        <v>69</v>
      </c>
      <c r="B143" s="254" t="s">
        <v>276</v>
      </c>
      <c r="C143" s="361" t="s">
        <v>556</v>
      </c>
      <c r="D143" s="356">
        <v>106545</v>
      </c>
      <c r="E143" s="358" t="s">
        <v>557</v>
      </c>
      <c r="F143" s="280" t="s">
        <v>273</v>
      </c>
      <c r="G143" s="275"/>
      <c r="H143" s="275"/>
      <c r="I143" s="275">
        <v>4736</v>
      </c>
      <c r="J143" s="275">
        <v>9472</v>
      </c>
      <c r="K143" s="275">
        <v>9472</v>
      </c>
      <c r="L143" s="275">
        <v>9472</v>
      </c>
      <c r="M143" s="275">
        <v>9472</v>
      </c>
      <c r="N143" s="275">
        <v>9472</v>
      </c>
      <c r="O143" s="275">
        <v>9472</v>
      </c>
      <c r="P143" s="275">
        <v>9472</v>
      </c>
      <c r="Q143" s="275">
        <v>9472</v>
      </c>
      <c r="R143" s="275">
        <v>9472</v>
      </c>
      <c r="S143" s="275">
        <v>9472</v>
      </c>
      <c r="T143" s="275">
        <v>7089</v>
      </c>
      <c r="U143" s="278"/>
      <c r="V143" s="268">
        <f t="shared" si="6"/>
        <v>106545</v>
      </c>
    </row>
    <row r="144" spans="1:22" s="67" customFormat="1" ht="12.75">
      <c r="A144" s="376"/>
      <c r="B144" s="260" t="s">
        <v>653</v>
      </c>
      <c r="C144" s="362"/>
      <c r="D144" s="357"/>
      <c r="E144" s="359"/>
      <c r="F144" s="262">
        <v>0.01312</v>
      </c>
      <c r="G144" s="264">
        <v>1520</v>
      </c>
      <c r="H144" s="264">
        <v>1620</v>
      </c>
      <c r="I144" s="264">
        <v>1616</v>
      </c>
      <c r="J144" s="264">
        <v>1530</v>
      </c>
      <c r="K144" s="264">
        <v>1382</v>
      </c>
      <c r="L144" s="264">
        <v>1238</v>
      </c>
      <c r="M144" s="264">
        <v>1094</v>
      </c>
      <c r="N144" s="264">
        <v>952</v>
      </c>
      <c r="O144" s="264">
        <v>806</v>
      </c>
      <c r="P144" s="264">
        <v>662</v>
      </c>
      <c r="Q144" s="264">
        <v>517</v>
      </c>
      <c r="R144" s="264">
        <v>375</v>
      </c>
      <c r="S144" s="264">
        <v>229</v>
      </c>
      <c r="T144" s="264">
        <v>85</v>
      </c>
      <c r="U144" s="279"/>
      <c r="V144" s="272">
        <f t="shared" si="6"/>
        <v>13626</v>
      </c>
    </row>
    <row r="145" spans="1:22" s="67" customFormat="1" ht="12.75" customHeight="1">
      <c r="A145" s="375">
        <v>70</v>
      </c>
      <c r="B145" s="254" t="s">
        <v>276</v>
      </c>
      <c r="C145" s="361" t="s">
        <v>558</v>
      </c>
      <c r="D145" s="356">
        <v>40180</v>
      </c>
      <c r="E145" s="358" t="s">
        <v>559</v>
      </c>
      <c r="F145" s="280" t="s">
        <v>273</v>
      </c>
      <c r="G145" s="275"/>
      <c r="H145" s="275"/>
      <c r="I145" s="275">
        <v>1786</v>
      </c>
      <c r="J145" s="275">
        <v>3572</v>
      </c>
      <c r="K145" s="275">
        <v>3572</v>
      </c>
      <c r="L145" s="275">
        <v>3572</v>
      </c>
      <c r="M145" s="275">
        <v>3572</v>
      </c>
      <c r="N145" s="275">
        <v>3572</v>
      </c>
      <c r="O145" s="275">
        <v>3572</v>
      </c>
      <c r="P145" s="275">
        <v>3572</v>
      </c>
      <c r="Q145" s="275">
        <v>3572</v>
      </c>
      <c r="R145" s="275">
        <v>3572</v>
      </c>
      <c r="S145" s="275">
        <v>3572</v>
      </c>
      <c r="T145" s="275">
        <v>2674</v>
      </c>
      <c r="U145" s="278"/>
      <c r="V145" s="268">
        <f t="shared" si="6"/>
        <v>40180</v>
      </c>
    </row>
    <row r="146" spans="1:22" s="67" customFormat="1" ht="12.75">
      <c r="A146" s="376"/>
      <c r="B146" s="260" t="s">
        <v>560</v>
      </c>
      <c r="C146" s="362"/>
      <c r="D146" s="357"/>
      <c r="E146" s="359"/>
      <c r="F146" s="262">
        <v>0.01146</v>
      </c>
      <c r="G146" s="264">
        <v>540</v>
      </c>
      <c r="H146" s="264">
        <v>611</v>
      </c>
      <c r="I146" s="264">
        <v>593</v>
      </c>
      <c r="J146" s="264">
        <v>577</v>
      </c>
      <c r="K146" s="264">
        <v>521</v>
      </c>
      <c r="L146" s="264">
        <v>467</v>
      </c>
      <c r="M146" s="264">
        <v>412</v>
      </c>
      <c r="N146" s="264">
        <v>359</v>
      </c>
      <c r="O146" s="264">
        <v>304</v>
      </c>
      <c r="P146" s="264">
        <v>249</v>
      </c>
      <c r="Q146" s="264">
        <v>195</v>
      </c>
      <c r="R146" s="264">
        <v>141</v>
      </c>
      <c r="S146" s="264">
        <v>87</v>
      </c>
      <c r="T146" s="264">
        <v>32</v>
      </c>
      <c r="U146" s="279"/>
      <c r="V146" s="272">
        <f t="shared" si="6"/>
        <v>5088</v>
      </c>
    </row>
    <row r="147" spans="1:22" s="67" customFormat="1" ht="12.75" customHeight="1">
      <c r="A147" s="375">
        <v>71</v>
      </c>
      <c r="B147" s="254" t="s">
        <v>276</v>
      </c>
      <c r="C147" s="361" t="s">
        <v>561</v>
      </c>
      <c r="D147" s="356">
        <v>40000</v>
      </c>
      <c r="E147" s="358" t="s">
        <v>562</v>
      </c>
      <c r="F147" s="280" t="s">
        <v>273</v>
      </c>
      <c r="G147" s="275"/>
      <c r="H147" s="275"/>
      <c r="I147" s="275">
        <v>2664</v>
      </c>
      <c r="J147" s="275">
        <v>3552</v>
      </c>
      <c r="K147" s="275">
        <v>3552</v>
      </c>
      <c r="L147" s="275">
        <v>3552</v>
      </c>
      <c r="M147" s="275">
        <v>3552</v>
      </c>
      <c r="N147" s="275">
        <v>3552</v>
      </c>
      <c r="O147" s="275">
        <v>3552</v>
      </c>
      <c r="P147" s="275">
        <v>3552</v>
      </c>
      <c r="Q147" s="275">
        <v>3552</v>
      </c>
      <c r="R147" s="275">
        <v>3552</v>
      </c>
      <c r="S147" s="275">
        <v>3552</v>
      </c>
      <c r="T147" s="275">
        <v>1816</v>
      </c>
      <c r="U147" s="278"/>
      <c r="V147" s="268">
        <f t="shared" si="6"/>
        <v>40000</v>
      </c>
    </row>
    <row r="148" spans="1:22" s="67" customFormat="1" ht="12.75">
      <c r="A148" s="376"/>
      <c r="B148" s="260" t="s">
        <v>563</v>
      </c>
      <c r="C148" s="362"/>
      <c r="D148" s="357"/>
      <c r="E148" s="359"/>
      <c r="F148" s="262">
        <v>0.01312</v>
      </c>
      <c r="G148" s="264">
        <v>571</v>
      </c>
      <c r="H148" s="264">
        <v>608</v>
      </c>
      <c r="I148" s="264">
        <v>604</v>
      </c>
      <c r="J148" s="264">
        <v>561</v>
      </c>
      <c r="K148" s="264">
        <v>505</v>
      </c>
      <c r="L148" s="264">
        <v>451</v>
      </c>
      <c r="M148" s="264">
        <v>397</v>
      </c>
      <c r="N148" s="264">
        <v>344</v>
      </c>
      <c r="O148" s="264">
        <v>289</v>
      </c>
      <c r="P148" s="264">
        <v>235</v>
      </c>
      <c r="Q148" s="264">
        <v>181</v>
      </c>
      <c r="R148" s="264">
        <v>128</v>
      </c>
      <c r="S148" s="264">
        <v>73</v>
      </c>
      <c r="T148" s="264">
        <v>19</v>
      </c>
      <c r="U148" s="279"/>
      <c r="V148" s="272">
        <f t="shared" si="6"/>
        <v>4966</v>
      </c>
    </row>
    <row r="149" spans="1:22" s="67" customFormat="1" ht="12.75" customHeight="1">
      <c r="A149" s="375">
        <v>72</v>
      </c>
      <c r="B149" s="254" t="s">
        <v>276</v>
      </c>
      <c r="C149" s="361" t="s">
        <v>564</v>
      </c>
      <c r="D149" s="356">
        <v>20000</v>
      </c>
      <c r="E149" s="358" t="s">
        <v>565</v>
      </c>
      <c r="F149" s="280" t="s">
        <v>273</v>
      </c>
      <c r="G149" s="275"/>
      <c r="H149" s="275"/>
      <c r="I149" s="275">
        <v>1335</v>
      </c>
      <c r="J149" s="275">
        <v>1780</v>
      </c>
      <c r="K149" s="275">
        <v>1780</v>
      </c>
      <c r="L149" s="275">
        <v>1780</v>
      </c>
      <c r="M149" s="275">
        <v>1780</v>
      </c>
      <c r="N149" s="275">
        <v>1780</v>
      </c>
      <c r="O149" s="275">
        <v>1780</v>
      </c>
      <c r="P149" s="275">
        <v>1780</v>
      </c>
      <c r="Q149" s="275">
        <v>1780</v>
      </c>
      <c r="R149" s="275">
        <v>1780</v>
      </c>
      <c r="S149" s="275">
        <v>1780</v>
      </c>
      <c r="T149" s="275">
        <v>865</v>
      </c>
      <c r="U149" s="278"/>
      <c r="V149" s="268">
        <f t="shared" si="6"/>
        <v>20000</v>
      </c>
    </row>
    <row r="150" spans="1:22" s="67" customFormat="1" ht="12.75">
      <c r="A150" s="376"/>
      <c r="B150" s="260" t="s">
        <v>566</v>
      </c>
      <c r="C150" s="362"/>
      <c r="D150" s="357"/>
      <c r="E150" s="359"/>
      <c r="F150" s="262">
        <v>0.01312</v>
      </c>
      <c r="G150" s="264">
        <v>295</v>
      </c>
      <c r="H150" s="264">
        <v>304</v>
      </c>
      <c r="I150" s="264">
        <v>302</v>
      </c>
      <c r="J150" s="264">
        <v>280</v>
      </c>
      <c r="K150" s="264">
        <v>253</v>
      </c>
      <c r="L150" s="264">
        <v>225</v>
      </c>
      <c r="M150" s="264">
        <v>198</v>
      </c>
      <c r="N150" s="264">
        <v>172</v>
      </c>
      <c r="O150" s="264">
        <v>144</v>
      </c>
      <c r="P150" s="264">
        <v>117</v>
      </c>
      <c r="Q150" s="264">
        <v>90</v>
      </c>
      <c r="R150" s="264">
        <v>63</v>
      </c>
      <c r="S150" s="264">
        <v>36</v>
      </c>
      <c r="T150" s="264">
        <v>9</v>
      </c>
      <c r="U150" s="279"/>
      <c r="V150" s="272">
        <f t="shared" si="6"/>
        <v>2488</v>
      </c>
    </row>
    <row r="151" spans="1:22" s="67" customFormat="1" ht="12.75" customHeight="1">
      <c r="A151" s="375">
        <v>73</v>
      </c>
      <c r="B151" s="254" t="s">
        <v>276</v>
      </c>
      <c r="C151" s="361" t="s">
        <v>567</v>
      </c>
      <c r="D151" s="356">
        <v>2910641</v>
      </c>
      <c r="E151" s="358" t="s">
        <v>568</v>
      </c>
      <c r="F151" s="280" t="s">
        <v>273</v>
      </c>
      <c r="G151" s="275"/>
      <c r="H151" s="275"/>
      <c r="I151" s="275">
        <v>129362</v>
      </c>
      <c r="J151" s="275">
        <v>258724</v>
      </c>
      <c r="K151" s="275">
        <v>258724</v>
      </c>
      <c r="L151" s="275">
        <v>258724</v>
      </c>
      <c r="M151" s="275">
        <v>258724</v>
      </c>
      <c r="N151" s="275">
        <v>258724</v>
      </c>
      <c r="O151" s="275">
        <v>258724</v>
      </c>
      <c r="P151" s="275">
        <v>258724</v>
      </c>
      <c r="Q151" s="275">
        <v>258724</v>
      </c>
      <c r="R151" s="275">
        <v>258724</v>
      </c>
      <c r="S151" s="275">
        <v>258724</v>
      </c>
      <c r="T151" s="275">
        <v>194039</v>
      </c>
      <c r="U151" s="278"/>
      <c r="V151" s="268">
        <f t="shared" si="6"/>
        <v>2910641</v>
      </c>
    </row>
    <row r="152" spans="1:22" s="67" customFormat="1" ht="12.75">
      <c r="A152" s="376"/>
      <c r="B152" s="260" t="s">
        <v>652</v>
      </c>
      <c r="C152" s="362"/>
      <c r="D152" s="357"/>
      <c r="E152" s="359"/>
      <c r="F152" s="262">
        <v>0.00868</v>
      </c>
      <c r="G152" s="264">
        <v>28918</v>
      </c>
      <c r="H152" s="264">
        <v>44266</v>
      </c>
      <c r="I152" s="264">
        <v>44236</v>
      </c>
      <c r="J152" s="264">
        <v>41803</v>
      </c>
      <c r="K152" s="264">
        <v>37749</v>
      </c>
      <c r="L152" s="264">
        <v>33815</v>
      </c>
      <c r="M152" s="264">
        <v>29880</v>
      </c>
      <c r="N152" s="264">
        <v>26021</v>
      </c>
      <c r="O152" s="264">
        <v>22010</v>
      </c>
      <c r="P152" s="264">
        <v>18076</v>
      </c>
      <c r="Q152" s="264">
        <v>14141</v>
      </c>
      <c r="R152" s="264">
        <v>10238</v>
      </c>
      <c r="S152" s="264">
        <v>6271</v>
      </c>
      <c r="T152" s="264">
        <v>2337</v>
      </c>
      <c r="U152" s="279"/>
      <c r="V152" s="272">
        <f t="shared" si="6"/>
        <v>359761</v>
      </c>
    </row>
    <row r="153" spans="1:22" s="67" customFormat="1" ht="12.75" customHeight="1">
      <c r="A153" s="332"/>
      <c r="B153" s="254" t="s">
        <v>276</v>
      </c>
      <c r="C153" s="388" t="s">
        <v>551</v>
      </c>
      <c r="D153" s="390">
        <v>1126866</v>
      </c>
      <c r="E153" s="358"/>
      <c r="F153" s="280" t="s">
        <v>273</v>
      </c>
      <c r="G153" s="275"/>
      <c r="H153" s="275"/>
      <c r="I153" s="275"/>
      <c r="J153" s="275">
        <v>50083</v>
      </c>
      <c r="K153" s="275">
        <v>100166</v>
      </c>
      <c r="L153" s="275">
        <v>100166</v>
      </c>
      <c r="M153" s="275">
        <v>100166</v>
      </c>
      <c r="N153" s="275">
        <v>100166</v>
      </c>
      <c r="O153" s="275">
        <v>100166</v>
      </c>
      <c r="P153" s="275">
        <v>100166</v>
      </c>
      <c r="Q153" s="275">
        <v>100166</v>
      </c>
      <c r="R153" s="275">
        <v>100166</v>
      </c>
      <c r="S153" s="275">
        <v>100166</v>
      </c>
      <c r="T153" s="275">
        <v>100166</v>
      </c>
      <c r="U153" s="278">
        <v>75123</v>
      </c>
      <c r="V153" s="268">
        <f t="shared" si="6"/>
        <v>1126866</v>
      </c>
    </row>
    <row r="154" spans="1:22" s="67" customFormat="1" ht="12.75">
      <c r="A154" s="332">
        <v>74</v>
      </c>
      <c r="B154" s="260"/>
      <c r="C154" s="389"/>
      <c r="D154" s="391"/>
      <c r="E154" s="359"/>
      <c r="F154" s="281">
        <v>0.015</v>
      </c>
      <c r="G154" s="264">
        <v>17138</v>
      </c>
      <c r="H154" s="264">
        <v>17138</v>
      </c>
      <c r="I154" s="264">
        <v>17138</v>
      </c>
      <c r="J154" s="264">
        <v>17142</v>
      </c>
      <c r="K154" s="264">
        <v>16138</v>
      </c>
      <c r="L154" s="264">
        <v>14615</v>
      </c>
      <c r="M154" s="264">
        <v>13091</v>
      </c>
      <c r="N154" s="264">
        <v>11602</v>
      </c>
      <c r="O154" s="264">
        <v>10045</v>
      </c>
      <c r="P154" s="264">
        <v>8521</v>
      </c>
      <c r="Q154" s="264">
        <v>6998</v>
      </c>
      <c r="R154" s="264">
        <v>5491</v>
      </c>
      <c r="S154" s="264">
        <v>3951</v>
      </c>
      <c r="T154" s="264">
        <v>1959</v>
      </c>
      <c r="U154" s="279">
        <v>905</v>
      </c>
      <c r="V154" s="272">
        <f t="shared" si="6"/>
        <v>161872</v>
      </c>
    </row>
    <row r="155" spans="1:22" ht="12.75">
      <c r="A155" s="282"/>
      <c r="B155" s="370" t="s">
        <v>370</v>
      </c>
      <c r="C155" s="371"/>
      <c r="D155" s="371"/>
      <c r="E155" s="372"/>
      <c r="F155" s="283" t="s">
        <v>22</v>
      </c>
      <c r="G155" s="284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153)</f>
        <v>3530818</v>
      </c>
      <c r="H155" s="284">
        <f aca="true" t="shared" si="7" ref="H155:U155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153)</f>
        <v>4026483</v>
      </c>
      <c r="I155" s="284">
        <f t="shared" si="7"/>
        <v>4489097</v>
      </c>
      <c r="J155" s="284">
        <f t="shared" si="7"/>
        <v>5134584</v>
      </c>
      <c r="K155" s="284">
        <f t="shared" si="7"/>
        <v>3780761</v>
      </c>
      <c r="L155" s="284">
        <f t="shared" si="7"/>
        <v>3356718</v>
      </c>
      <c r="M155" s="284">
        <f t="shared" si="7"/>
        <v>3356718</v>
      </c>
      <c r="N155" s="284">
        <f t="shared" si="7"/>
        <v>3356718</v>
      </c>
      <c r="O155" s="284">
        <f t="shared" si="7"/>
        <v>3356718</v>
      </c>
      <c r="P155" s="284">
        <f t="shared" si="7"/>
        <v>2363470</v>
      </c>
      <c r="Q155" s="284">
        <f t="shared" si="7"/>
        <v>1758458</v>
      </c>
      <c r="R155" s="284">
        <f t="shared" si="7"/>
        <v>1338444</v>
      </c>
      <c r="S155" s="284">
        <f t="shared" si="7"/>
        <v>1034444</v>
      </c>
      <c r="T155" s="284">
        <f t="shared" si="7"/>
        <v>768849</v>
      </c>
      <c r="U155" s="284">
        <f t="shared" si="7"/>
        <v>75123</v>
      </c>
      <c r="V155" s="285">
        <f t="shared" si="6"/>
        <v>41727403</v>
      </c>
    </row>
    <row r="156" spans="1:22" ht="13.5" thickBot="1">
      <c r="A156" s="286"/>
      <c r="B156" s="383" t="s">
        <v>371</v>
      </c>
      <c r="C156" s="384"/>
      <c r="D156" s="384"/>
      <c r="E156" s="385"/>
      <c r="F156" s="287" t="s">
        <v>22</v>
      </c>
      <c r="G156" s="288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154)+187033</f>
        <v>891000</v>
      </c>
      <c r="H156" s="288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154)</f>
        <v>714426</v>
      </c>
      <c r="I156" s="288">
        <f aca="true" t="shared" si="8" ref="I156:U156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154)</f>
        <v>625172</v>
      </c>
      <c r="J156" s="288">
        <f t="shared" si="8"/>
        <v>539687</v>
      </c>
      <c r="K156" s="288">
        <f t="shared" si="8"/>
        <v>438392</v>
      </c>
      <c r="L156" s="288">
        <f t="shared" si="8"/>
        <v>361667</v>
      </c>
      <c r="M156" s="288">
        <f t="shared" si="8"/>
        <v>298390</v>
      </c>
      <c r="N156" s="288">
        <f t="shared" si="8"/>
        <v>235705</v>
      </c>
      <c r="O156" s="288">
        <f t="shared" si="8"/>
        <v>171992</v>
      </c>
      <c r="P156" s="288">
        <f t="shared" si="8"/>
        <v>110374</v>
      </c>
      <c r="Q156" s="288">
        <f t="shared" si="8"/>
        <v>73623</v>
      </c>
      <c r="R156" s="288">
        <f t="shared" si="8"/>
        <v>45871</v>
      </c>
      <c r="S156" s="288">
        <f t="shared" si="8"/>
        <v>25802</v>
      </c>
      <c r="T156" s="288">
        <f t="shared" si="8"/>
        <v>9921</v>
      </c>
      <c r="U156" s="288">
        <f t="shared" si="8"/>
        <v>905</v>
      </c>
      <c r="V156" s="289">
        <f t="shared" si="6"/>
        <v>4542927</v>
      </c>
    </row>
    <row r="157" spans="1:22" ht="13.5" thickTop="1">
      <c r="A157" s="290"/>
      <c r="B157" s="386" t="s">
        <v>372</v>
      </c>
      <c r="C157" s="387"/>
      <c r="D157" s="387"/>
      <c r="E157" s="387"/>
      <c r="F157" s="291" t="s">
        <v>22</v>
      </c>
      <c r="G157" s="292">
        <f aca="true" t="shared" si="9" ref="G157:V157">SUM(G155:G156)</f>
        <v>4421818</v>
      </c>
      <c r="H157" s="292">
        <f t="shared" si="9"/>
        <v>4740909</v>
      </c>
      <c r="I157" s="292">
        <f t="shared" si="9"/>
        <v>5114269</v>
      </c>
      <c r="J157" s="292">
        <f t="shared" si="9"/>
        <v>5674271</v>
      </c>
      <c r="K157" s="292">
        <f t="shared" si="9"/>
        <v>4219153</v>
      </c>
      <c r="L157" s="292">
        <f t="shared" si="9"/>
        <v>3718385</v>
      </c>
      <c r="M157" s="292">
        <f t="shared" si="9"/>
        <v>3655108</v>
      </c>
      <c r="N157" s="292">
        <f t="shared" si="9"/>
        <v>3592423</v>
      </c>
      <c r="O157" s="292">
        <f t="shared" si="9"/>
        <v>3528710</v>
      </c>
      <c r="P157" s="292">
        <f t="shared" si="9"/>
        <v>2473844</v>
      </c>
      <c r="Q157" s="292">
        <f t="shared" si="9"/>
        <v>1832081</v>
      </c>
      <c r="R157" s="292">
        <f t="shared" si="9"/>
        <v>1384315</v>
      </c>
      <c r="S157" s="292">
        <f t="shared" si="9"/>
        <v>1060246</v>
      </c>
      <c r="T157" s="292">
        <f t="shared" si="9"/>
        <v>778770</v>
      </c>
      <c r="U157" s="292">
        <f t="shared" si="9"/>
        <v>76028</v>
      </c>
      <c r="V157" s="293">
        <f t="shared" si="9"/>
        <v>46270330</v>
      </c>
    </row>
    <row r="158" spans="1:22" ht="12.75">
      <c r="A158" s="294"/>
      <c r="B158" s="368" t="s">
        <v>569</v>
      </c>
      <c r="C158" s="369"/>
      <c r="D158" s="369"/>
      <c r="E158" s="369"/>
      <c r="F158" s="295" t="s">
        <v>373</v>
      </c>
      <c r="G158" s="296">
        <f>SUM(G157/24598778)</f>
        <v>0.179757628610657</v>
      </c>
      <c r="H158" s="296">
        <f aca="true" t="shared" si="10" ref="H158:V158">SUM(H157/24598778)</f>
        <v>0.19272945184512824</v>
      </c>
      <c r="I158" s="296">
        <f t="shared" si="10"/>
        <v>0.20790744158104113</v>
      </c>
      <c r="J158" s="296">
        <f t="shared" si="10"/>
        <v>0.2306728813927261</v>
      </c>
      <c r="K158" s="296">
        <f t="shared" si="10"/>
        <v>0.17151880471460818</v>
      </c>
      <c r="L158" s="296">
        <f t="shared" si="10"/>
        <v>0.1511613706989835</v>
      </c>
      <c r="M158" s="296">
        <f t="shared" si="10"/>
        <v>0.14858900714498907</v>
      </c>
      <c r="N158" s="296">
        <f t="shared" si="10"/>
        <v>0.14604070982713044</v>
      </c>
      <c r="O158" s="296">
        <f t="shared" si="10"/>
        <v>0.1434506218154414</v>
      </c>
      <c r="P158" s="296">
        <f t="shared" si="10"/>
        <v>0.10056775991067524</v>
      </c>
      <c r="Q158" s="296">
        <f t="shared" si="10"/>
        <v>0.07447853710456674</v>
      </c>
      <c r="R158" s="296">
        <f t="shared" si="10"/>
        <v>0.05627576296676201</v>
      </c>
      <c r="S158" s="296">
        <f t="shared" si="10"/>
        <v>0.043101571956135384</v>
      </c>
      <c r="T158" s="296">
        <f t="shared" si="10"/>
        <v>0.031658889722082945</v>
      </c>
      <c r="U158" s="296">
        <f t="shared" si="10"/>
        <v>0.00309072263670984</v>
      </c>
      <c r="V158" s="296">
        <f t="shared" si="10"/>
        <v>1.8810011619276372</v>
      </c>
    </row>
    <row r="160" spans="12:22" ht="18.75">
      <c r="L160" s="10" t="s">
        <v>654</v>
      </c>
      <c r="M160" s="10"/>
      <c r="N160" s="10"/>
      <c r="O160" s="10"/>
      <c r="P160" s="10"/>
      <c r="V160" s="331" t="s">
        <v>655</v>
      </c>
    </row>
  </sheetData>
  <sheetProtection/>
  <mergeCells count="255">
    <mergeCell ref="A147:A148"/>
    <mergeCell ref="B156:E156"/>
    <mergeCell ref="B157:E157"/>
    <mergeCell ref="E151:E152"/>
    <mergeCell ref="C153:C154"/>
    <mergeCell ref="D153:D154"/>
    <mergeCell ref="E153:E154"/>
    <mergeCell ref="A149:A150"/>
    <mergeCell ref="C151:C152"/>
    <mergeCell ref="D151:D152"/>
    <mergeCell ref="E145:E146"/>
    <mergeCell ref="D143:D144"/>
    <mergeCell ref="D145:D146"/>
    <mergeCell ref="A143:A144"/>
    <mergeCell ref="C143:C144"/>
    <mergeCell ref="E143:E144"/>
    <mergeCell ref="D139:D140"/>
    <mergeCell ref="A151:A152"/>
    <mergeCell ref="C149:C150"/>
    <mergeCell ref="D149:D150"/>
    <mergeCell ref="D141:D142"/>
    <mergeCell ref="A145:A146"/>
    <mergeCell ref="C145:C146"/>
    <mergeCell ref="A141:A142"/>
    <mergeCell ref="C141:C142"/>
    <mergeCell ref="C147:C148"/>
    <mergeCell ref="D127:D128"/>
    <mergeCell ref="A133:A134"/>
    <mergeCell ref="A135:A136"/>
    <mergeCell ref="E141:E142"/>
    <mergeCell ref="A139:A140"/>
    <mergeCell ref="C139:C140"/>
    <mergeCell ref="E135:E136"/>
    <mergeCell ref="C135:C136"/>
    <mergeCell ref="D137:D138"/>
    <mergeCell ref="E137:E138"/>
    <mergeCell ref="D135:D136"/>
    <mergeCell ref="A137:A138"/>
    <mergeCell ref="A125:A126"/>
    <mergeCell ref="C125:C126"/>
    <mergeCell ref="A129:A130"/>
    <mergeCell ref="A131:A132"/>
    <mergeCell ref="C137:C138"/>
    <mergeCell ref="D125:D126"/>
    <mergeCell ref="A127:A128"/>
    <mergeCell ref="C127:C128"/>
    <mergeCell ref="A123:A124"/>
    <mergeCell ref="A115:A116"/>
    <mergeCell ref="A117:A118"/>
    <mergeCell ref="A119:A120"/>
    <mergeCell ref="A121:A122"/>
    <mergeCell ref="A107:A108"/>
    <mergeCell ref="A109:A110"/>
    <mergeCell ref="A111:A112"/>
    <mergeCell ref="A93:A94"/>
    <mergeCell ref="C93:C94"/>
    <mergeCell ref="A89:A90"/>
    <mergeCell ref="C89:C90"/>
    <mergeCell ref="A91:A92"/>
    <mergeCell ref="A113:A114"/>
    <mergeCell ref="C113:C114"/>
    <mergeCell ref="A105:A106"/>
    <mergeCell ref="D101:D102"/>
    <mergeCell ref="D111:D112"/>
    <mergeCell ref="D105:D106"/>
    <mergeCell ref="A83:A84"/>
    <mergeCell ref="A101:A102"/>
    <mergeCell ref="A103:A104"/>
    <mergeCell ref="C91:C92"/>
    <mergeCell ref="A95:A96"/>
    <mergeCell ref="A97:A98"/>
    <mergeCell ref="A99:A100"/>
    <mergeCell ref="A13:A14"/>
    <mergeCell ref="A31:A32"/>
    <mergeCell ref="A9:A10"/>
    <mergeCell ref="D113:D114"/>
    <mergeCell ref="D115:D116"/>
    <mergeCell ref="C103:C104"/>
    <mergeCell ref="C97:C98"/>
    <mergeCell ref="C99:C100"/>
    <mergeCell ref="D97:D98"/>
    <mergeCell ref="D99:D100"/>
    <mergeCell ref="A5:A6"/>
    <mergeCell ref="B5:B6"/>
    <mergeCell ref="C5:C6"/>
    <mergeCell ref="A7:A8"/>
    <mergeCell ref="C7:C8"/>
    <mergeCell ref="A11:A12"/>
    <mergeCell ref="D23:D24"/>
    <mergeCell ref="A15:A16"/>
    <mergeCell ref="A17:A18"/>
    <mergeCell ref="A19:A20"/>
    <mergeCell ref="A21:A22"/>
    <mergeCell ref="C23:C24"/>
    <mergeCell ref="D15:D16"/>
    <mergeCell ref="D17:D18"/>
    <mergeCell ref="D19:D20"/>
    <mergeCell ref="D21:D22"/>
    <mergeCell ref="A33:A34"/>
    <mergeCell ref="A35:A36"/>
    <mergeCell ref="A37:A38"/>
    <mergeCell ref="A23:A24"/>
    <mergeCell ref="A25:A26"/>
    <mergeCell ref="A27:A28"/>
    <mergeCell ref="A29:A30"/>
    <mergeCell ref="C27:C28"/>
    <mergeCell ref="C29:C30"/>
    <mergeCell ref="A71:A72"/>
    <mergeCell ref="A73:A74"/>
    <mergeCell ref="A55:A56"/>
    <mergeCell ref="A57:A58"/>
    <mergeCell ref="A59:A60"/>
    <mergeCell ref="A61:A62"/>
    <mergeCell ref="A39:A40"/>
    <mergeCell ref="A41:A42"/>
    <mergeCell ref="A43:A44"/>
    <mergeCell ref="A45:A46"/>
    <mergeCell ref="A81:A82"/>
    <mergeCell ref="A75:A76"/>
    <mergeCell ref="A47:A48"/>
    <mergeCell ref="A49:A50"/>
    <mergeCell ref="A51:A52"/>
    <mergeCell ref="A53:A54"/>
    <mergeCell ref="A69:A70"/>
    <mergeCell ref="A67:A68"/>
    <mergeCell ref="A63:A64"/>
    <mergeCell ref="A65:A66"/>
    <mergeCell ref="C25:C26"/>
    <mergeCell ref="A77:A78"/>
    <mergeCell ref="C77:C78"/>
    <mergeCell ref="C31:C32"/>
    <mergeCell ref="C39:C40"/>
    <mergeCell ref="C33:C34"/>
    <mergeCell ref="C35:C36"/>
    <mergeCell ref="C37:C38"/>
    <mergeCell ref="A79:A80"/>
    <mergeCell ref="A87:A88"/>
    <mergeCell ref="C85:C86"/>
    <mergeCell ref="C87:C88"/>
    <mergeCell ref="C79:C80"/>
    <mergeCell ref="C81:C82"/>
    <mergeCell ref="A85:A86"/>
    <mergeCell ref="C119:C120"/>
    <mergeCell ref="C73:C74"/>
    <mergeCell ref="C95:C96"/>
    <mergeCell ref="C109:C110"/>
    <mergeCell ref="C101:C102"/>
    <mergeCell ref="C105:C106"/>
    <mergeCell ref="C111:C112"/>
    <mergeCell ref="C75:C76"/>
    <mergeCell ref="C117:C118"/>
    <mergeCell ref="C115:C116"/>
    <mergeCell ref="C9:C10"/>
    <mergeCell ref="C11:C12"/>
    <mergeCell ref="C21:C22"/>
    <mergeCell ref="C13:C14"/>
    <mergeCell ref="C15:C16"/>
    <mergeCell ref="C17:C18"/>
    <mergeCell ref="C19:C20"/>
    <mergeCell ref="E133:E134"/>
    <mergeCell ref="C121:C122"/>
    <mergeCell ref="C129:C130"/>
    <mergeCell ref="C131:C132"/>
    <mergeCell ref="D133:D134"/>
    <mergeCell ref="D121:D122"/>
    <mergeCell ref="D123:D124"/>
    <mergeCell ref="D129:D130"/>
    <mergeCell ref="E125:E126"/>
    <mergeCell ref="E127:E128"/>
    <mergeCell ref="B158:E158"/>
    <mergeCell ref="B155:E155"/>
    <mergeCell ref="C123:C124"/>
    <mergeCell ref="C83:C84"/>
    <mergeCell ref="E131:E132"/>
    <mergeCell ref="E139:E140"/>
    <mergeCell ref="C107:C108"/>
    <mergeCell ref="E111:E112"/>
    <mergeCell ref="E113:E114"/>
    <mergeCell ref="E115:E116"/>
    <mergeCell ref="C59:C60"/>
    <mergeCell ref="C61:C62"/>
    <mergeCell ref="C63:C64"/>
    <mergeCell ref="C69:C70"/>
    <mergeCell ref="C49:C50"/>
    <mergeCell ref="C51:C52"/>
    <mergeCell ref="C53:C54"/>
    <mergeCell ref="D47:D48"/>
    <mergeCell ref="C41:C42"/>
    <mergeCell ref="C43:C44"/>
    <mergeCell ref="C45:C46"/>
    <mergeCell ref="C47:C48"/>
    <mergeCell ref="C71:C72"/>
    <mergeCell ref="C65:C66"/>
    <mergeCell ref="C67:C68"/>
    <mergeCell ref="C55:C56"/>
    <mergeCell ref="C57:C58"/>
    <mergeCell ref="D29:D30"/>
    <mergeCell ref="D31:D32"/>
    <mergeCell ref="D33:D34"/>
    <mergeCell ref="D35:D36"/>
    <mergeCell ref="D41:D42"/>
    <mergeCell ref="D43:D44"/>
    <mergeCell ref="A4:K4"/>
    <mergeCell ref="C133:C134"/>
    <mergeCell ref="D7:D8"/>
    <mergeCell ref="D9:D10"/>
    <mergeCell ref="D11:D12"/>
    <mergeCell ref="D13:D14"/>
    <mergeCell ref="D85:D86"/>
    <mergeCell ref="D87:D88"/>
    <mergeCell ref="D25:D26"/>
    <mergeCell ref="D27:D28"/>
    <mergeCell ref="D37:D38"/>
    <mergeCell ref="D39:D40"/>
    <mergeCell ref="D55:D56"/>
    <mergeCell ref="D57:D58"/>
    <mergeCell ref="D59:D60"/>
    <mergeCell ref="D61:D62"/>
    <mergeCell ref="D49:D50"/>
    <mergeCell ref="D51:D52"/>
    <mergeCell ref="D53:D54"/>
    <mergeCell ref="D45:D46"/>
    <mergeCell ref="D73:D74"/>
    <mergeCell ref="D75:D76"/>
    <mergeCell ref="D77:D78"/>
    <mergeCell ref="D79:D80"/>
    <mergeCell ref="D63:D64"/>
    <mergeCell ref="D65:D66"/>
    <mergeCell ref="D89:D90"/>
    <mergeCell ref="D91:D92"/>
    <mergeCell ref="D93:D94"/>
    <mergeCell ref="D95:D96"/>
    <mergeCell ref="D67:D68"/>
    <mergeCell ref="D103:D104"/>
    <mergeCell ref="D69:D70"/>
    <mergeCell ref="D71:D72"/>
    <mergeCell ref="D81:D82"/>
    <mergeCell ref="D83:D84"/>
    <mergeCell ref="E103:E104"/>
    <mergeCell ref="E105:E106"/>
    <mergeCell ref="E107:E108"/>
    <mergeCell ref="E129:E130"/>
    <mergeCell ref="E119:E120"/>
    <mergeCell ref="E121:E122"/>
    <mergeCell ref="E109:E110"/>
    <mergeCell ref="D107:D108"/>
    <mergeCell ref="D109:D110"/>
    <mergeCell ref="E149:E150"/>
    <mergeCell ref="D147:D148"/>
    <mergeCell ref="E123:E124"/>
    <mergeCell ref="D131:D132"/>
    <mergeCell ref="E117:E118"/>
    <mergeCell ref="D117:D118"/>
    <mergeCell ref="D119:D120"/>
    <mergeCell ref="E147:E148"/>
  </mergeCells>
  <printOptions/>
  <pageMargins left="0.7480314960629921" right="0.7480314960629921" top="0.3937007874015748" bottom="0.3937007874015748" header="0.5118110236220472" footer="0.35433070866141736"/>
  <pageSetup horizontalDpi="600" verticalDpi="600" orientation="landscape" paperSize="9" r:id="rId1"/>
  <headerFooter alignWithMargins="0">
    <oddFooter>&amp;R&amp;P</oddFooter>
  </headerFooter>
  <rowBreaks count="3" manualBreakCount="3">
    <brk id="42" max="255" man="1"/>
    <brk id="8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2013-01-31T13:09:27Z</cp:lastPrinted>
  <dcterms:created xsi:type="dcterms:W3CDTF">2007-01-09T12:30:29Z</dcterms:created>
  <dcterms:modified xsi:type="dcterms:W3CDTF">2013-01-31T13:21:15Z</dcterms:modified>
  <cp:category/>
  <cp:version/>
  <cp:contentType/>
  <cp:contentStatus/>
</cp:coreProperties>
</file>